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ml.chartshapes+xml"/>
  <Override PartName="/xl/charts/chart8.xml" ContentType="application/vnd.openxmlformats-officedocument.drawingml.chart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theme/themeOverride1.xml" ContentType="application/vnd.openxmlformats-officedocument.themeOverrid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theme/themeOverride2.xml" ContentType="application/vnd.openxmlformats-officedocument.themeOverrid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d9972448-3ad5-40cb-9202-c175d92add89\"/>
    </mc:Choice>
  </mc:AlternateContent>
  <xr:revisionPtr revIDLastSave="0" documentId="8_{2FD72622-EE2F-4719-A5D1-12861A7FA2A0}" xr6:coauthVersionLast="46" xr6:coauthVersionMax="46" xr10:uidLastSave="{00000000-0000-0000-0000-000000000000}"/>
  <bookViews>
    <workbookView xWindow="390" yWindow="390" windowWidth="11520" windowHeight="7875"/>
  </bookViews>
  <sheets>
    <sheet name="MBA" sheetId="1" r:id="rId1"/>
    <sheet name="Sheet2" sheetId="2" state="hidden" r:id="rId2"/>
    <sheet name="OLTC" sheetId="7" r:id="rId3"/>
    <sheet name="Sheet4" sheetId="8" state="hidden" r:id="rId4"/>
    <sheet name="Sheet3" sheetId="6" state="veryHidden" r:id="rId5"/>
  </sheets>
  <definedNames>
    <definedName name="KETQUA1">Sheet2!$K$6:$K$12</definedName>
    <definedName name="KETQUA2">Sheet2!$J$57:$J$63</definedName>
    <definedName name="KETQUA3">Sheet2!$M$57:$M$63</definedName>
    <definedName name="KETQUA4">Sheet2!$K$30:$K$35</definedName>
    <definedName name="KETQUA5">Sheet4!$J$7:$J$22</definedName>
    <definedName name="KETQUA6">Sheet2!$M$30:$M$35</definedName>
    <definedName name="pctC2H2" localSheetId="1">Sheet2!#REF!</definedName>
    <definedName name="pctC2H2" localSheetId="3">Sheet4!#REF!</definedName>
    <definedName name="pctC2H4" localSheetId="1">Sheet2!#REF!</definedName>
    <definedName name="pctC2H4" localSheetId="3">Sheet4!#REF!</definedName>
    <definedName name="pctCH4" localSheetId="1">Sheet2!#REF!</definedName>
    <definedName name="pctCH4" localSheetId="3">Sheet4!#REF!</definedName>
    <definedName name="ppmC2H2" localSheetId="1">Sheet2!#REF!</definedName>
    <definedName name="ppmC2H2" localSheetId="3">Sheet4!#REF!</definedName>
    <definedName name="ppmC2H4" localSheetId="1">Sheet2!#REF!</definedName>
    <definedName name="ppmC2H4" localSheetId="3">Sheet4!#REF!</definedName>
    <definedName name="ppmC2H41">#REF!</definedName>
    <definedName name="ppmCH4" localSheetId="1">Sheet2!#REF!</definedName>
    <definedName name="ppmCH4" localSheetId="3">Sheet4!#REF!</definedName>
    <definedName name="ppmCH41">#REF!</definedName>
    <definedName name="Résultat" localSheetId="1">Sheet2!#REF!</definedName>
    <definedName name="Résultat" localSheetId="3">Sheet4!#REF!</definedName>
    <definedName name="SommeABC" localSheetId="1">Sheet2!#REF!</definedName>
    <definedName name="SommeABC" localSheetId="3">Sheet4!#REF!</definedName>
  </definedNames>
  <calcPr calcId="191029"/>
</workbook>
</file>

<file path=xl/calcChain.xml><?xml version="1.0" encoding="utf-8"?>
<calcChain xmlns="http://schemas.openxmlformats.org/spreadsheetml/2006/main">
  <c r="N12" i="1" l="1"/>
  <c r="N11" i="1"/>
  <c r="N10" i="1"/>
  <c r="B320" i="2"/>
  <c r="F320" i="2"/>
  <c r="B319" i="2"/>
  <c r="F317" i="2"/>
  <c r="B318" i="2"/>
  <c r="F319" i="2"/>
  <c r="B317" i="2"/>
  <c r="F318" i="2"/>
  <c r="B316" i="2"/>
  <c r="F316" i="2"/>
  <c r="B331" i="2"/>
  <c r="F327" i="2"/>
  <c r="F326" i="2"/>
  <c r="F325" i="2"/>
  <c r="F324" i="2"/>
  <c r="F260" i="2"/>
  <c r="F259" i="2"/>
  <c r="F258" i="2"/>
  <c r="C104" i="2"/>
  <c r="E157" i="1"/>
  <c r="G28" i="1"/>
  <c r="H105" i="2"/>
  <c r="L110" i="2"/>
  <c r="J93" i="2"/>
  <c r="C95" i="2"/>
  <c r="F107" i="8"/>
  <c r="E107" i="8"/>
  <c r="D107" i="8"/>
  <c r="C107" i="8"/>
  <c r="A107" i="8"/>
  <c r="A87" i="8"/>
  <c r="F87" i="8"/>
  <c r="E87" i="8"/>
  <c r="D87" i="8"/>
  <c r="C87" i="8"/>
  <c r="F83" i="8"/>
  <c r="B87" i="8"/>
  <c r="M228" i="1"/>
  <c r="M227" i="1"/>
  <c r="M226" i="1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264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M311" i="2"/>
  <c r="M310" i="2"/>
  <c r="M307" i="2"/>
  <c r="M306" i="2"/>
  <c r="M303" i="2"/>
  <c r="M302" i="2"/>
  <c r="M299" i="2"/>
  <c r="M298" i="2"/>
  <c r="M295" i="2"/>
  <c r="M294" i="2"/>
  <c r="M291" i="2"/>
  <c r="M290" i="2"/>
  <c r="M287" i="2"/>
  <c r="M286" i="2"/>
  <c r="M283" i="2"/>
  <c r="M282" i="2"/>
  <c r="M279" i="2"/>
  <c r="M278" i="2"/>
  <c r="M275" i="2"/>
  <c r="M274" i="2"/>
  <c r="M271" i="2"/>
  <c r="M270" i="2"/>
  <c r="M267" i="2"/>
  <c r="M266" i="2"/>
  <c r="M263" i="2"/>
  <c r="N312" i="2"/>
  <c r="M312" i="2"/>
  <c r="N311" i="2"/>
  <c r="N310" i="2"/>
  <c r="N309" i="2"/>
  <c r="M309" i="2"/>
  <c r="N308" i="2"/>
  <c r="M308" i="2"/>
  <c r="N307" i="2"/>
  <c r="N306" i="2"/>
  <c r="N305" i="2"/>
  <c r="M305" i="2"/>
  <c r="N304" i="2"/>
  <c r="M304" i="2"/>
  <c r="N303" i="2"/>
  <c r="N302" i="2"/>
  <c r="N301" i="2"/>
  <c r="M301" i="2"/>
  <c r="N300" i="2"/>
  <c r="M300" i="2"/>
  <c r="N299" i="2"/>
  <c r="N298" i="2"/>
  <c r="N297" i="2"/>
  <c r="M297" i="2"/>
  <c r="N296" i="2"/>
  <c r="M296" i="2"/>
  <c r="N295" i="2"/>
  <c r="N294" i="2"/>
  <c r="N293" i="2"/>
  <c r="M293" i="2"/>
  <c r="N292" i="2"/>
  <c r="M292" i="2"/>
  <c r="N291" i="2"/>
  <c r="N290" i="2"/>
  <c r="N289" i="2"/>
  <c r="M289" i="2"/>
  <c r="N288" i="2"/>
  <c r="M288" i="2"/>
  <c r="N287" i="2"/>
  <c r="N286" i="2"/>
  <c r="N285" i="2"/>
  <c r="M285" i="2"/>
  <c r="N284" i="2"/>
  <c r="M284" i="2"/>
  <c r="N283" i="2"/>
  <c r="N282" i="2"/>
  <c r="N281" i="2"/>
  <c r="M281" i="2"/>
  <c r="N280" i="2"/>
  <c r="M280" i="2"/>
  <c r="N279" i="2"/>
  <c r="N278" i="2"/>
  <c r="N277" i="2"/>
  <c r="M277" i="2"/>
  <c r="N276" i="2"/>
  <c r="M276" i="2"/>
  <c r="N275" i="2"/>
  <c r="N274" i="2"/>
  <c r="N273" i="2"/>
  <c r="M273" i="2"/>
  <c r="N272" i="2"/>
  <c r="M272" i="2"/>
  <c r="N271" i="2"/>
  <c r="N270" i="2"/>
  <c r="N269" i="2"/>
  <c r="M269" i="2"/>
  <c r="N268" i="2"/>
  <c r="M268" i="2"/>
  <c r="N267" i="2"/>
  <c r="N266" i="2"/>
  <c r="N265" i="2"/>
  <c r="M265" i="2"/>
  <c r="N264" i="2"/>
  <c r="M264" i="2"/>
  <c r="N263" i="2"/>
  <c r="N199" i="1"/>
  <c r="N198" i="1"/>
  <c r="N197" i="1"/>
  <c r="N196" i="1"/>
  <c r="F236" i="2"/>
  <c r="F235" i="2"/>
  <c r="F234" i="2"/>
  <c r="F233" i="2"/>
  <c r="F232" i="2"/>
  <c r="F231" i="2"/>
  <c r="G236" i="2"/>
  <c r="G235" i="2"/>
  <c r="G234" i="2"/>
  <c r="G233" i="2"/>
  <c r="G232" i="2"/>
  <c r="G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F218" i="2"/>
  <c r="F217" i="2"/>
  <c r="F216" i="2"/>
  <c r="G218" i="2"/>
  <c r="G217" i="2"/>
  <c r="G216" i="2"/>
  <c r="F215" i="2"/>
  <c r="F214" i="2"/>
  <c r="F213" i="2"/>
  <c r="F212" i="2"/>
  <c r="G215" i="2"/>
  <c r="G214" i="2"/>
  <c r="G213" i="2"/>
  <c r="G212" i="2"/>
  <c r="G209" i="2"/>
  <c r="G210" i="2"/>
  <c r="G211" i="2"/>
  <c r="F209" i="2"/>
  <c r="F210" i="2"/>
  <c r="F211" i="2"/>
  <c r="G208" i="2"/>
  <c r="F208" i="2"/>
  <c r="N255" i="2"/>
  <c r="M255" i="2"/>
  <c r="L255" i="2"/>
  <c r="N254" i="2"/>
  <c r="M254" i="2"/>
  <c r="L254" i="2"/>
  <c r="N253" i="2"/>
  <c r="M253" i="2"/>
  <c r="L253" i="2"/>
  <c r="N252" i="2"/>
  <c r="M252" i="2"/>
  <c r="L252" i="2"/>
  <c r="N251" i="2"/>
  <c r="M251" i="2"/>
  <c r="L251" i="2"/>
  <c r="N250" i="2"/>
  <c r="M250" i="2"/>
  <c r="L250" i="2"/>
  <c r="N249" i="2"/>
  <c r="M249" i="2"/>
  <c r="L249" i="2"/>
  <c r="N248" i="2"/>
  <c r="M248" i="2"/>
  <c r="L248" i="2"/>
  <c r="N247" i="2"/>
  <c r="M247" i="2"/>
  <c r="L247" i="2"/>
  <c r="N246" i="2"/>
  <c r="M246" i="2"/>
  <c r="L246" i="2"/>
  <c r="N245" i="2"/>
  <c r="M245" i="2"/>
  <c r="L245" i="2"/>
  <c r="N244" i="2"/>
  <c r="M244" i="2"/>
  <c r="L244" i="2"/>
  <c r="N243" i="2"/>
  <c r="M243" i="2"/>
  <c r="L243" i="2"/>
  <c r="N242" i="2"/>
  <c r="M242" i="2"/>
  <c r="L242" i="2"/>
  <c r="N241" i="2"/>
  <c r="M241" i="2"/>
  <c r="L241" i="2"/>
  <c r="N240" i="2"/>
  <c r="M240" i="2"/>
  <c r="L240" i="2"/>
  <c r="N239" i="2"/>
  <c r="M239" i="2"/>
  <c r="L239" i="2"/>
  <c r="N238" i="2"/>
  <c r="M238" i="2"/>
  <c r="L238" i="2"/>
  <c r="N237" i="2"/>
  <c r="M237" i="2"/>
  <c r="L237" i="2"/>
  <c r="N236" i="2"/>
  <c r="M236" i="2"/>
  <c r="L236" i="2"/>
  <c r="N235" i="2"/>
  <c r="M235" i="2"/>
  <c r="L235" i="2"/>
  <c r="N234" i="2"/>
  <c r="M234" i="2"/>
  <c r="L234" i="2"/>
  <c r="N233" i="2"/>
  <c r="M233" i="2"/>
  <c r="L233" i="2"/>
  <c r="N232" i="2"/>
  <c r="M232" i="2"/>
  <c r="L232" i="2"/>
  <c r="N231" i="2"/>
  <c r="M231" i="2"/>
  <c r="L231" i="2"/>
  <c r="N230" i="2"/>
  <c r="M230" i="2"/>
  <c r="L230" i="2"/>
  <c r="N229" i="2"/>
  <c r="M229" i="2"/>
  <c r="L229" i="2"/>
  <c r="N228" i="2"/>
  <c r="M228" i="2"/>
  <c r="L228" i="2"/>
  <c r="N227" i="2"/>
  <c r="M227" i="2"/>
  <c r="L227" i="2"/>
  <c r="N226" i="2"/>
  <c r="M226" i="2"/>
  <c r="L226" i="2"/>
  <c r="N225" i="2"/>
  <c r="M225" i="2"/>
  <c r="L225" i="2"/>
  <c r="N224" i="2"/>
  <c r="M224" i="2"/>
  <c r="L224" i="2"/>
  <c r="N223" i="2"/>
  <c r="M223" i="2"/>
  <c r="L223" i="2"/>
  <c r="N222" i="2"/>
  <c r="M222" i="2"/>
  <c r="L222" i="2"/>
  <c r="N221" i="2"/>
  <c r="M221" i="2"/>
  <c r="L221" i="2"/>
  <c r="N220" i="2"/>
  <c r="M220" i="2"/>
  <c r="L220" i="2"/>
  <c r="N219" i="2"/>
  <c r="M219" i="2"/>
  <c r="L219" i="2"/>
  <c r="N218" i="2"/>
  <c r="M218" i="2"/>
  <c r="L218" i="2"/>
  <c r="N217" i="2"/>
  <c r="M217" i="2"/>
  <c r="L217" i="2"/>
  <c r="N216" i="2"/>
  <c r="M216" i="2"/>
  <c r="L216" i="2"/>
  <c r="N215" i="2"/>
  <c r="M215" i="2"/>
  <c r="L215" i="2"/>
  <c r="N214" i="2"/>
  <c r="M214" i="2"/>
  <c r="L214" i="2"/>
  <c r="N213" i="2"/>
  <c r="M213" i="2"/>
  <c r="L213" i="2"/>
  <c r="N212" i="2"/>
  <c r="M212" i="2"/>
  <c r="L212" i="2"/>
  <c r="N211" i="2"/>
  <c r="M211" i="2"/>
  <c r="L211" i="2"/>
  <c r="N210" i="2"/>
  <c r="M210" i="2"/>
  <c r="L210" i="2"/>
  <c r="N209" i="2"/>
  <c r="M209" i="2"/>
  <c r="L209" i="2"/>
  <c r="N208" i="2"/>
  <c r="M208" i="2"/>
  <c r="L208" i="2"/>
  <c r="N207" i="2"/>
  <c r="M207" i="2"/>
  <c r="L207" i="2"/>
  <c r="N206" i="2"/>
  <c r="M206" i="2"/>
  <c r="L206" i="2"/>
  <c r="N205" i="2"/>
  <c r="M205" i="2"/>
  <c r="L205" i="2"/>
  <c r="N204" i="2"/>
  <c r="M204" i="2"/>
  <c r="L204" i="2"/>
  <c r="N203" i="2"/>
  <c r="M203" i="2"/>
  <c r="L203" i="2"/>
  <c r="A31" i="8"/>
  <c r="B31" i="8"/>
  <c r="C31" i="8"/>
  <c r="D31" i="8"/>
  <c r="F41" i="8"/>
  <c r="E31" i="8"/>
  <c r="C30" i="7"/>
  <c r="P2" i="2"/>
  <c r="Q2" i="2"/>
  <c r="R2" i="2"/>
  <c r="P3" i="2"/>
  <c r="Q3" i="2"/>
  <c r="R3" i="2"/>
  <c r="P4" i="2"/>
  <c r="Q4" i="2"/>
  <c r="R4" i="2"/>
  <c r="P5" i="2"/>
  <c r="Q5" i="2"/>
  <c r="R5" i="2"/>
  <c r="P6" i="2"/>
  <c r="Q6" i="2"/>
  <c r="R6" i="2"/>
  <c r="P7" i="2"/>
  <c r="Q7" i="2"/>
  <c r="R7" i="2"/>
  <c r="P8" i="2"/>
  <c r="Q8" i="2"/>
  <c r="R8" i="2"/>
  <c r="P9" i="2"/>
  <c r="Q9" i="2"/>
  <c r="R9" i="2"/>
  <c r="P10" i="2"/>
  <c r="Q10" i="2"/>
  <c r="R10" i="2"/>
  <c r="P11" i="2"/>
  <c r="Q11" i="2"/>
  <c r="R11" i="2"/>
  <c r="P12" i="2"/>
  <c r="Q12" i="2"/>
  <c r="R12" i="2"/>
  <c r="P13" i="2"/>
  <c r="Q13" i="2"/>
  <c r="R13" i="2"/>
  <c r="P14" i="2"/>
  <c r="Q14" i="2"/>
  <c r="R14" i="2"/>
  <c r="P15" i="2"/>
  <c r="Q15" i="2"/>
  <c r="R15" i="2"/>
  <c r="P16" i="2"/>
  <c r="Q16" i="2"/>
  <c r="R16" i="2"/>
  <c r="P17" i="2"/>
  <c r="Q17" i="2"/>
  <c r="R17" i="2"/>
  <c r="P18" i="2"/>
  <c r="Q18" i="2"/>
  <c r="R18" i="2"/>
  <c r="P19" i="2"/>
  <c r="Q19" i="2"/>
  <c r="R19" i="2"/>
  <c r="P20" i="2"/>
  <c r="Q20" i="2"/>
  <c r="R20" i="2"/>
  <c r="P21" i="2"/>
  <c r="Q21" i="2"/>
  <c r="R21" i="2"/>
  <c r="P22" i="2"/>
  <c r="Q22" i="2"/>
  <c r="R22" i="2"/>
  <c r="P23" i="2"/>
  <c r="Q23" i="2"/>
  <c r="R23" i="2"/>
  <c r="P24" i="2"/>
  <c r="Q24" i="2"/>
  <c r="R24" i="2"/>
  <c r="P25" i="2"/>
  <c r="Q25" i="2"/>
  <c r="R25" i="2"/>
  <c r="P26" i="2"/>
  <c r="Q26" i="2"/>
  <c r="R26" i="2"/>
  <c r="P27" i="2"/>
  <c r="Q27" i="2"/>
  <c r="R27" i="2"/>
  <c r="P28" i="2"/>
  <c r="Q28" i="2"/>
  <c r="R28" i="2"/>
  <c r="P29" i="2"/>
  <c r="Q29" i="2"/>
  <c r="R29" i="2"/>
  <c r="P30" i="2"/>
  <c r="Q30" i="2"/>
  <c r="R30" i="2"/>
  <c r="P31" i="2"/>
  <c r="Q31" i="2"/>
  <c r="R31" i="2"/>
  <c r="P32" i="2"/>
  <c r="Q32" i="2"/>
  <c r="R32" i="2"/>
  <c r="P33" i="2"/>
  <c r="Q33" i="2"/>
  <c r="R33" i="2"/>
  <c r="P34" i="2"/>
  <c r="Q34" i="2"/>
  <c r="R34" i="2"/>
  <c r="P35" i="2"/>
  <c r="Q35" i="2"/>
  <c r="R35" i="2"/>
  <c r="P36" i="2"/>
  <c r="Q36" i="2"/>
  <c r="R36" i="2"/>
  <c r="P37" i="2"/>
  <c r="Q37" i="2"/>
  <c r="R37" i="2"/>
  <c r="P38" i="2"/>
  <c r="Q38" i="2"/>
  <c r="R38" i="2"/>
  <c r="P39" i="2"/>
  <c r="Q39" i="2"/>
  <c r="R39" i="2"/>
  <c r="P40" i="2"/>
  <c r="Q40" i="2"/>
  <c r="R40" i="2"/>
  <c r="P41" i="2"/>
  <c r="Q41" i="2"/>
  <c r="R41" i="2"/>
  <c r="P42" i="2"/>
  <c r="Q42" i="2"/>
  <c r="R42" i="2"/>
  <c r="P43" i="2"/>
  <c r="Q43" i="2"/>
  <c r="R43" i="2"/>
  <c r="P44" i="2"/>
  <c r="Q44" i="2"/>
  <c r="R44" i="2"/>
  <c r="P45" i="2"/>
  <c r="Q45" i="2"/>
  <c r="R45" i="2"/>
  <c r="P46" i="2"/>
  <c r="Q46" i="2"/>
  <c r="R46" i="2"/>
  <c r="P47" i="2"/>
  <c r="Q47" i="2"/>
  <c r="R47" i="2"/>
  <c r="P48" i="2"/>
  <c r="Q48" i="2"/>
  <c r="R48" i="2"/>
  <c r="P49" i="2"/>
  <c r="Q49" i="2"/>
  <c r="R49" i="2"/>
  <c r="P50" i="2"/>
  <c r="Q50" i="2"/>
  <c r="R50" i="2"/>
  <c r="P51" i="2"/>
  <c r="Q51" i="2"/>
  <c r="R51" i="2"/>
  <c r="P52" i="2"/>
  <c r="Q52" i="2"/>
  <c r="R52" i="2"/>
  <c r="P53" i="2"/>
  <c r="Q53" i="2"/>
  <c r="R53" i="2"/>
  <c r="J54" i="2"/>
  <c r="M54" i="2"/>
  <c r="P54" i="2"/>
  <c r="Q54" i="2"/>
  <c r="R54" i="2"/>
  <c r="B55" i="2"/>
  <c r="C55" i="2"/>
  <c r="G55" i="2"/>
  <c r="H55" i="2"/>
  <c r="J55" i="2"/>
  <c r="M55" i="2"/>
  <c r="K113" i="2"/>
  <c r="K114" i="2"/>
  <c r="K115" i="2"/>
  <c r="K116" i="2"/>
  <c r="K117" i="2"/>
  <c r="H10" i="1"/>
  <c r="B96" i="2"/>
  <c r="I10" i="1"/>
  <c r="F43" i="1"/>
  <c r="I43" i="1"/>
  <c r="G79" i="1"/>
  <c r="I79" i="1"/>
  <c r="D189" i="1"/>
  <c r="C175" i="2"/>
  <c r="D190" i="1"/>
  <c r="B197" i="2"/>
  <c r="D191" i="1"/>
  <c r="D175" i="2"/>
  <c r="D192" i="1"/>
  <c r="D193" i="1"/>
  <c r="D140" i="2"/>
  <c r="L260" i="2"/>
  <c r="N260" i="2"/>
  <c r="M260" i="2"/>
  <c r="N261" i="2"/>
  <c r="L261" i="2"/>
  <c r="M261" i="2"/>
  <c r="L262" i="2"/>
  <c r="M262" i="2"/>
  <c r="N262" i="2"/>
  <c r="H87" i="8"/>
  <c r="F37" i="8"/>
  <c r="F67" i="7"/>
  <c r="I65" i="8"/>
  <c r="G71" i="8"/>
  <c r="F38" i="8"/>
  <c r="D51" i="8"/>
  <c r="G70" i="8"/>
  <c r="G65" i="8"/>
  <c r="G68" i="8"/>
  <c r="B107" i="8"/>
  <c r="G107" i="8"/>
  <c r="F100" i="8"/>
  <c r="C31" i="7"/>
  <c r="J107" i="8"/>
  <c r="F101" i="8"/>
  <c r="F75" i="7"/>
  <c r="F74" i="7"/>
  <c r="G69" i="8"/>
  <c r="L106" i="2"/>
  <c r="L109" i="2"/>
  <c r="H73" i="8"/>
  <c r="E23" i="7"/>
  <c r="F39" i="8"/>
  <c r="F43" i="8"/>
  <c r="E20" i="7"/>
  <c r="B140" i="2"/>
  <c r="J87" i="8"/>
  <c r="F81" i="8"/>
  <c r="F65" i="7"/>
  <c r="F82" i="8"/>
  <c r="F66" i="7"/>
  <c r="C33" i="7"/>
  <c r="C32" i="7"/>
  <c r="D47" i="8"/>
  <c r="F40" i="8"/>
  <c r="G31" i="8"/>
  <c r="G87" i="8"/>
  <c r="F80" i="8"/>
  <c r="F102" i="8"/>
  <c r="L110" i="8"/>
  <c r="M110" i="8"/>
  <c r="K75" i="7"/>
  <c r="H107" i="8"/>
  <c r="F103" i="8"/>
  <c r="F77" i="7"/>
  <c r="F76" i="7"/>
  <c r="L111" i="8"/>
  <c r="F64" i="7"/>
  <c r="H91" i="8"/>
  <c r="H92" i="8"/>
  <c r="H93" i="8"/>
  <c r="H90" i="8"/>
  <c r="J5" i="8"/>
  <c r="J4" i="8"/>
  <c r="J3" i="8"/>
  <c r="D48" i="8"/>
  <c r="D57" i="8"/>
  <c r="H58" i="8"/>
  <c r="E22" i="7"/>
  <c r="D50" i="8"/>
  <c r="D49" i="8"/>
  <c r="F53" i="8"/>
  <c r="E21" i="7"/>
  <c r="L112" i="8"/>
  <c r="J22" i="8"/>
  <c r="J10" i="8"/>
  <c r="J21" i="8"/>
  <c r="E3" i="8"/>
  <c r="I90" i="8"/>
  <c r="K65" i="7"/>
  <c r="J9" i="8"/>
  <c r="J7" i="8"/>
  <c r="J24" i="8" a="1"/>
  <c r="J24" i="8"/>
  <c r="E24" i="7"/>
  <c r="J8" i="8"/>
  <c r="F3" i="8"/>
  <c r="B160" i="2"/>
  <c r="C94" i="2"/>
  <c r="C98" i="2"/>
  <c r="C97" i="2"/>
  <c r="C96" i="2"/>
  <c r="B175" i="2"/>
  <c r="C100" i="2"/>
  <c r="C99" i="2"/>
  <c r="F138" i="1"/>
  <c r="G27" i="1" s="1"/>
  <c r="L105" i="2"/>
  <c r="L107" i="2"/>
  <c r="L108" i="2"/>
  <c r="F175" i="2"/>
  <c r="F257" i="2"/>
  <c r="G260" i="2"/>
  <c r="J61" i="2"/>
  <c r="H43" i="1"/>
  <c r="K2" i="2"/>
  <c r="K6" i="2"/>
  <c r="C197" i="2"/>
  <c r="C160" i="2"/>
  <c r="D197" i="2"/>
  <c r="G259" i="2"/>
  <c r="G258" i="2"/>
  <c r="G23" i="1"/>
  <c r="G26" i="1"/>
  <c r="J26" i="1"/>
  <c r="C140" i="2"/>
  <c r="H1" i="2"/>
  <c r="M62" i="2"/>
  <c r="M57" i="2"/>
  <c r="M59" i="2"/>
  <c r="M58" i="2"/>
  <c r="M65" i="2" a="1"/>
  <c r="M65" i="2"/>
  <c r="I110" i="1"/>
  <c r="J29" i="1"/>
  <c r="M61" i="2"/>
  <c r="M63" i="2"/>
  <c r="M60" i="2"/>
  <c r="J63" i="2"/>
  <c r="B95" i="2"/>
  <c r="J58" i="2"/>
  <c r="K118" i="2"/>
  <c r="K107" i="2"/>
  <c r="J60" i="2"/>
  <c r="J62" i="2"/>
  <c r="G25" i="1"/>
  <c r="J59" i="2"/>
  <c r="J57" i="2"/>
  <c r="J65" i="2" a="1"/>
  <c r="J65" i="2"/>
  <c r="E110" i="1"/>
  <c r="G29" i="1"/>
  <c r="M79" i="1"/>
  <c r="N79" i="1"/>
  <c r="K28" i="2"/>
  <c r="L79" i="1"/>
  <c r="H47" i="2"/>
  <c r="I264" i="2"/>
  <c r="I270" i="2"/>
  <c r="J224" i="1"/>
  <c r="G33" i="1"/>
  <c r="I268" i="2"/>
  <c r="I263" i="2"/>
  <c r="I266" i="2"/>
  <c r="I265" i="2"/>
  <c r="B99" i="2"/>
  <c r="B98" i="2"/>
  <c r="B100" i="2"/>
  <c r="B97" i="2"/>
  <c r="M225" i="1"/>
  <c r="N227" i="1"/>
  <c r="N226" i="1"/>
  <c r="P225" i="1"/>
  <c r="N228" i="1"/>
  <c r="F194" i="2"/>
  <c r="I269" i="2"/>
  <c r="G24" i="1"/>
  <c r="I267" i="2"/>
  <c r="D160" i="2"/>
  <c r="G1" i="2"/>
  <c r="K3" i="2"/>
  <c r="J43" i="1"/>
  <c r="K4" i="2"/>
  <c r="K7" i="2"/>
  <c r="F196" i="2"/>
  <c r="F189" i="2"/>
  <c r="L115" i="2"/>
  <c r="K106" i="2"/>
  <c r="K109" i="2"/>
  <c r="L116" i="2"/>
  <c r="O198" i="1"/>
  <c r="O199" i="1"/>
  <c r="I206" i="2"/>
  <c r="F321" i="2"/>
  <c r="F191" i="2"/>
  <c r="F184" i="2"/>
  <c r="K27" i="2"/>
  <c r="F182" i="2"/>
  <c r="F185" i="2"/>
  <c r="F187" i="2"/>
  <c r="O197" i="1"/>
  <c r="F193" i="2"/>
  <c r="L114" i="2"/>
  <c r="K110" i="2"/>
  <c r="L117" i="2"/>
  <c r="K26" i="2"/>
  <c r="M31" i="2"/>
  <c r="K108" i="2"/>
  <c r="L113" i="2"/>
  <c r="G47" i="2"/>
  <c r="O225" i="1"/>
  <c r="K11" i="2"/>
  <c r="K8" i="2"/>
  <c r="K9" i="2"/>
  <c r="K10" i="2"/>
  <c r="K12" i="2"/>
  <c r="P196" i="1"/>
  <c r="I205" i="2"/>
  <c r="G318" i="2"/>
  <c r="G319" i="2"/>
  <c r="G317" i="2"/>
  <c r="G320" i="2"/>
  <c r="I204" i="2"/>
  <c r="Q196" i="1"/>
  <c r="F197" i="2"/>
  <c r="G316" i="2"/>
  <c r="I316" i="2"/>
  <c r="M32" i="2"/>
  <c r="K32" i="2"/>
  <c r="K35" i="2"/>
  <c r="M35" i="2"/>
  <c r="M30" i="2"/>
  <c r="K33" i="2"/>
  <c r="K31" i="2"/>
  <c r="M33" i="2"/>
  <c r="M34" i="2"/>
  <c r="K30" i="2"/>
  <c r="K34" i="2"/>
  <c r="K39" i="2" a="1"/>
  <c r="K39" i="2"/>
  <c r="K14" i="2" a="1"/>
  <c r="K14" i="2"/>
  <c r="A70" i="1"/>
  <c r="G30" i="1"/>
  <c r="I212" i="2"/>
  <c r="I209" i="2"/>
  <c r="I210" i="2"/>
  <c r="H318" i="2"/>
  <c r="I318" i="2"/>
  <c r="I216" i="2"/>
  <c r="I208" i="2"/>
  <c r="I211" i="2"/>
  <c r="I320" i="2"/>
  <c r="C335" i="2"/>
  <c r="H320" i="2"/>
  <c r="I319" i="2"/>
  <c r="H319" i="2"/>
  <c r="C331" i="2"/>
  <c r="C336" i="2"/>
  <c r="M39" i="2" a="1"/>
  <c r="M39" i="2"/>
  <c r="B80" i="1"/>
  <c r="G31" i="1"/>
  <c r="H317" i="2"/>
  <c r="I317" i="2"/>
  <c r="N316" i="2"/>
  <c r="B333" i="2"/>
  <c r="K317" i="2"/>
  <c r="J318" i="2"/>
  <c r="M318" i="2"/>
  <c r="N319" i="2"/>
  <c r="C334" i="2"/>
  <c r="I213" i="2"/>
  <c r="I196" i="1"/>
  <c r="G32" i="1"/>
  <c r="B335" i="2"/>
  <c r="K319" i="2"/>
  <c r="M319" i="2"/>
  <c r="K318" i="2"/>
  <c r="J319" i="2"/>
  <c r="L319" i="2"/>
  <c r="B334" i="2"/>
  <c r="C332" i="2"/>
  <c r="J316" i="2"/>
  <c r="L316" i="2"/>
  <c r="N317" i="2"/>
  <c r="J317" i="2"/>
  <c r="B332" i="2"/>
  <c r="M316" i="2"/>
  <c r="M317" i="2"/>
  <c r="K316" i="2"/>
  <c r="N318" i="2"/>
  <c r="C333" i="2"/>
  <c r="O316" i="2"/>
  <c r="L317" i="2"/>
  <c r="O317" i="2"/>
  <c r="L318" i="2"/>
  <c r="P318" i="2"/>
  <c r="L321" i="2"/>
  <c r="L322" i="2"/>
  <c r="P316" i="2"/>
  <c r="O319" i="2"/>
  <c r="O318" i="2"/>
  <c r="P317" i="2"/>
  <c r="P319" i="2"/>
  <c r="O321" i="2"/>
  <c r="O324" i="2"/>
  <c r="B340" i="2"/>
  <c r="P321" i="2"/>
  <c r="P324" i="2"/>
  <c r="C340" i="2"/>
  <c r="L331" i="2"/>
  <c r="D331" i="2"/>
  <c r="L330" i="2"/>
  <c r="E339" i="2"/>
  <c r="D335" i="2"/>
  <c r="D339" i="2"/>
  <c r="E331" i="2"/>
  <c r="E337" i="2"/>
  <c r="G336" i="2"/>
  <c r="I336" i="2"/>
  <c r="D333" i="2"/>
  <c r="G330" i="2"/>
  <c r="D337" i="2"/>
  <c r="E335" i="2"/>
  <c r="G334" i="2"/>
  <c r="I334" i="2"/>
  <c r="I335" i="2"/>
  <c r="G331" i="2"/>
  <c r="I331" i="2"/>
  <c r="G333" i="2"/>
  <c r="I333" i="2"/>
  <c r="G335" i="2"/>
  <c r="G332" i="2"/>
  <c r="I332" i="2"/>
  <c r="I330" i="2"/>
  <c r="G337" i="2"/>
  <c r="F249" i="1"/>
  <c r="G34" i="1"/>
  <c r="I337" i="2"/>
  <c r="N249" i="1"/>
  <c r="G35" i="1"/>
</calcChain>
</file>

<file path=xl/sharedStrings.xml><?xml version="1.0" encoding="utf-8"?>
<sst xmlns="http://schemas.openxmlformats.org/spreadsheetml/2006/main" count="983" uniqueCount="455">
  <si>
    <t>KẾT QUẢ PHÂN TÍCH KHÍ HÒA TAN</t>
  </si>
  <si>
    <t>Kết quả thí nghiệm DGA (ppm)</t>
  </si>
  <si>
    <t>H2</t>
  </si>
  <si>
    <t>CH4</t>
  </si>
  <si>
    <t>C2H4</t>
  </si>
  <si>
    <t>C2H6</t>
  </si>
  <si>
    <t>C2H2</t>
  </si>
  <si>
    <t>CO</t>
  </si>
  <si>
    <t>CO2</t>
  </si>
  <si>
    <t>TKC</t>
  </si>
  <si>
    <t>CO2/CO</t>
  </si>
  <si>
    <t>Khi nồng độ khí bằng "0", thì nhập nồng độ phát hiện giới hạn MDL (H2 = 20 ppm, C = 1 ppm)</t>
  </si>
  <si>
    <t>L1 - Nồng độ khí gới hạn (ppm)</t>
  </si>
  <si>
    <t>500*</t>
  </si>
  <si>
    <t>2000(4000)*</t>
  </si>
  <si>
    <t>Tiêu chuẩn Nga</t>
  </si>
  <si>
    <t>6000(8000)</t>
  </si>
  <si>
    <t xml:space="preserve">* -Dòng trên cho máy bảo vệ màng hoặc nitơ,dòng dưới-MBA dạng hở; trong ngoặc đối với MBA vận hành trên 10 năm. </t>
  </si>
  <si>
    <t>Đánh giá kết quả thí nghiệm</t>
  </si>
  <si>
    <t>1/ Phương pháp tỷ số theo IEC60599</t>
  </si>
  <si>
    <t>2/ Phương pháp tỷ số theo ROGER (IEEE C57.104.2008)</t>
  </si>
  <si>
    <t>3/ Phương pháp tỷ số theo DOERNENBURG (IEEE C57.104.2008)</t>
  </si>
  <si>
    <t>4/ Phương pháp tỷ số theo tiêu chuẩn Nga</t>
  </si>
  <si>
    <t>6/ Phương pháp biểu đồ theo dạng đặc trưng (chỉ dẫn của Nga)</t>
  </si>
  <si>
    <t>9/ Universal Fault Gas Triangle</t>
  </si>
  <si>
    <t>CH4+C2H4+C2H2</t>
  </si>
  <si>
    <t>%CH4</t>
  </si>
  <si>
    <t>%C2H4</t>
  </si>
  <si>
    <t>%C2H2</t>
  </si>
  <si>
    <t>Triangle</t>
  </si>
  <si>
    <t>Vùng</t>
  </si>
  <si>
    <t>Dạng hư hỏng</t>
  </si>
  <si>
    <t>PD</t>
  </si>
  <si>
    <t>Phóng điện cục bộ</t>
  </si>
  <si>
    <t>T3</t>
  </si>
  <si>
    <t xml:space="preserve">Phân hủy nhiệt T3 &gt;700 độ </t>
  </si>
  <si>
    <t>T2</t>
  </si>
  <si>
    <t xml:space="preserve">Phân hủy nhiệt 300&lt;T2&lt;700 độ </t>
  </si>
  <si>
    <t>T1</t>
  </si>
  <si>
    <t>Phân hủy nhiệt T1&lt;300 độ</t>
  </si>
  <si>
    <t>D1</t>
  </si>
  <si>
    <t>Phóng điện năng lượng thấp (tia lửa điện)</t>
  </si>
  <si>
    <t>D2</t>
  </si>
  <si>
    <t>Phóng điện năng lượng cao (hồ quang điện)</t>
  </si>
  <si>
    <t>Plot</t>
  </si>
  <si>
    <t>Serie 0</t>
  </si>
  <si>
    <t>Serie 1</t>
  </si>
  <si>
    <t>Serie 2</t>
  </si>
  <si>
    <t>Serie 4</t>
  </si>
  <si>
    <t>Serie 5</t>
  </si>
  <si>
    <t>Serie 6</t>
  </si>
  <si>
    <t>Serie 7</t>
  </si>
  <si>
    <t>Serie 8</t>
  </si>
  <si>
    <t>Serie 3</t>
  </si>
  <si>
    <t>1/Duval Triangle (Biểu đồ 3 tỷ số)</t>
  </si>
  <si>
    <t>Đánh giá</t>
  </si>
  <si>
    <t>I/ Phương pháp biểu đồ</t>
  </si>
  <si>
    <t>Thùng dầu chính</t>
  </si>
  <si>
    <t>D+T</t>
  </si>
  <si>
    <t>Phóng điện và phân hủy nhiệt</t>
  </si>
  <si>
    <t>Trạm 110kV Châu Khê - Bắc Ninh</t>
  </si>
  <si>
    <t xml:space="preserve"> MBA T1 63MVA-115/38,5/23kV Số 63M110679</t>
  </si>
  <si>
    <t>22/2/2012</t>
  </si>
  <si>
    <r>
      <t>Địa điểm</t>
    </r>
    <r>
      <rPr>
        <sz val="12"/>
        <rFont val="Times New Roman"/>
        <family val="1"/>
      </rPr>
      <t xml:space="preserve">:        </t>
    </r>
  </si>
  <si>
    <r>
      <t>Tên thiết bị</t>
    </r>
    <r>
      <rPr>
        <sz val="12"/>
        <rFont val="Times New Roman"/>
        <family val="1"/>
      </rPr>
      <t xml:space="preserve">:   </t>
    </r>
  </si>
  <si>
    <r>
      <t>Vị trí lấy mẫu:</t>
    </r>
    <r>
      <rPr>
        <sz val="12"/>
        <rFont val="Times New Roman"/>
        <family val="1"/>
      </rPr>
      <t xml:space="preserve"> </t>
    </r>
  </si>
  <si>
    <r>
      <t>Ngày lấy mẫu</t>
    </r>
    <r>
      <rPr>
        <sz val="12"/>
        <rFont val="Times New Roman"/>
        <family val="1"/>
      </rPr>
      <t xml:space="preserve">: </t>
    </r>
  </si>
  <si>
    <t>Universal Fault Gas Triangle</t>
  </si>
  <si>
    <t>Serie 10</t>
  </si>
  <si>
    <t>Serie 11</t>
  </si>
  <si>
    <t>Serie 12</t>
  </si>
  <si>
    <t>Serie 13</t>
  </si>
  <si>
    <t>Serie 14</t>
  </si>
  <si>
    <t>Serie 15</t>
  </si>
  <si>
    <t>Serie 16</t>
  </si>
  <si>
    <t>Biểu đồ 2 tỷ số</t>
  </si>
  <si>
    <t>CH4/H2</t>
  </si>
  <si>
    <t>C2H2/C2H4</t>
  </si>
  <si>
    <t>C2H4/C2H6</t>
  </si>
  <si>
    <t>x</t>
  </si>
  <si>
    <t>y</t>
  </si>
  <si>
    <t>Serie 9</t>
  </si>
  <si>
    <t>Serie 17</t>
  </si>
  <si>
    <t>Biểu đồ khí cơ bản</t>
  </si>
  <si>
    <t>Dạng chuẩn</t>
  </si>
  <si>
    <t>Biểu đồ khí Nga</t>
  </si>
  <si>
    <t>Amax</t>
  </si>
  <si>
    <t>Ai=Ci/Cgh</t>
  </si>
  <si>
    <t>A=Ai/Amax</t>
  </si>
  <si>
    <t>II/ Phương pháp tỷ số</t>
  </si>
  <si>
    <t>1/ Theo IEC 60599</t>
  </si>
  <si>
    <t>Dạng sự cố</t>
  </si>
  <si>
    <t>Mẫu</t>
  </si>
  <si>
    <t>2/ Theo tỷ số Roger:</t>
  </si>
  <si>
    <t xml:space="preserve">Đánh giá </t>
  </si>
  <si>
    <t>Normal</t>
  </si>
  <si>
    <t>3/ Theo tỷ số Doernenburg</t>
  </si>
  <si>
    <t>C2H2/CH4</t>
  </si>
  <si>
    <t>C2H6/C2H2</t>
  </si>
  <si>
    <t>Phân hủy T</t>
  </si>
  <si>
    <t>4/ Phương pháp tỷ số theo tài liệu Nga</t>
  </si>
  <si>
    <t>Đặc trưng</t>
  </si>
  <si>
    <t>Bình thường</t>
  </si>
  <si>
    <t>1/Hóa già bình thường</t>
  </si>
  <si>
    <r>
      <t xml:space="preserve">PD - </t>
    </r>
    <r>
      <rPr>
        <b/>
        <sz val="8"/>
        <rFont val="Times New Roman"/>
        <family val="1"/>
      </rPr>
      <t>NLT</t>
    </r>
  </si>
  <si>
    <t>2/Phóng điện cục bộ qua nơi không nạp đầy dầu hoặc cách điện bị ẩm năng lượng thấp</t>
  </si>
  <si>
    <r>
      <t xml:space="preserve">PD - </t>
    </r>
    <r>
      <rPr>
        <b/>
        <sz val="8"/>
        <rFont val="Times New Roman"/>
        <family val="1"/>
      </rPr>
      <t>NLC</t>
    </r>
  </si>
  <si>
    <t>3/Phóng điện cục bộ qua nơi không nạp đầy dầu hoặc cách điện bị ẩm năng lượng cao</t>
  </si>
  <si>
    <t>4/Phóng điện trong dầu nơi chênh điện áp hoặc giữa cách điện cứng</t>
  </si>
  <si>
    <t xml:space="preserve">5/Hồ quang điện, chọc thủng dầu giữa các cuộn dây, các gông từ hoặc gông từ với đất </t>
  </si>
  <si>
    <t>To(&lt;150)</t>
  </si>
  <si>
    <t>6/Quá nhiệt dây cuốn cách điện</t>
  </si>
  <si>
    <t>7/Quá nhiệt cục bộ - điểm nóng</t>
  </si>
  <si>
    <t>8/Quá nhiệt cục bộ - điểm nóng phát triển</t>
  </si>
  <si>
    <t>9/Điểm nóng do tiếp xúc, dòng quẩn, quá nhiệt lõi từ</t>
  </si>
  <si>
    <t xml:space="preserve">Mẫu TN </t>
  </si>
  <si>
    <t>Quá nhiệt dầu</t>
  </si>
  <si>
    <t>Quá nhiệt giấy cách điện</t>
  </si>
  <si>
    <t>Phóng hồ quang điện</t>
  </si>
  <si>
    <t>CH4+C2H4+C2H6</t>
  </si>
  <si>
    <t>CH4+C2H4+C2H6+H2+C2H2</t>
  </si>
  <si>
    <t>%H2</t>
  </si>
  <si>
    <t>%CH4+</t>
  </si>
  <si>
    <t>2/ Universal Fault Gas Triangle (Biểu đồ 3 tỷ số)</t>
  </si>
  <si>
    <t>3/ Biểu đồ 2 tỷ số</t>
  </si>
  <si>
    <t>Biểu đồ C2H2/C2H4 - CH4/H2</t>
  </si>
  <si>
    <t>Biểu đồ C2H2/C2H4 - C2H4/C2H6</t>
  </si>
  <si>
    <t>4/ Biểu đồ theo khí cơ bản ( IEEE C57.104)</t>
  </si>
  <si>
    <t>Chuan1</t>
  </si>
  <si>
    <t>Chuan2</t>
  </si>
  <si>
    <t>Chuan3</t>
  </si>
  <si>
    <t>Chuan4</t>
  </si>
  <si>
    <t/>
  </si>
  <si>
    <t>5/ Biểu đồ theo chỉ dẫn của Nga</t>
  </si>
  <si>
    <t xml:space="preserve">        Biểu đồ đặc trưng</t>
  </si>
  <si>
    <t>STT</t>
  </si>
  <si>
    <t>Mẫu TN</t>
  </si>
  <si>
    <t>Chuan5</t>
  </si>
  <si>
    <t>Chuan6</t>
  </si>
  <si>
    <t>Chuan7</t>
  </si>
  <si>
    <t>Chuan8</t>
  </si>
  <si>
    <t>Chuan9</t>
  </si>
  <si>
    <t>Chuan10</t>
  </si>
  <si>
    <t>Chuan11</t>
  </si>
  <si>
    <t>Chuan12</t>
  </si>
  <si>
    <t>Chuan13</t>
  </si>
  <si>
    <t>Chuan14</t>
  </si>
  <si>
    <t>Chuan17</t>
  </si>
  <si>
    <t>Chuan16</t>
  </si>
  <si>
    <t>Chuan15</t>
  </si>
  <si>
    <t>Chuan18</t>
  </si>
  <si>
    <t>Phân hủy nhiệt ở nhiệt độ t &gt; 700+ hồ quang</t>
  </si>
  <si>
    <t>II/ Phương pháp Tỷ số khí</t>
  </si>
  <si>
    <t xml:space="preserve">(Nhập nồng độ khí hoặc nhận xét đánh giá vào ô mầu vàng) </t>
  </si>
  <si>
    <t>Tỷ số khí</t>
  </si>
  <si>
    <t>Giá trị</t>
  </si>
  <si>
    <t>R2 = C2H2/C2H4</t>
  </si>
  <si>
    <t>R3 = C2H2/CH4</t>
  </si>
  <si>
    <t>R4 = C2H6/C2H2</t>
  </si>
  <si>
    <t>R5 = C2H4/C2H6</t>
  </si>
  <si>
    <t>R1 = CH4/H2</t>
  </si>
  <si>
    <t>R1</t>
  </si>
  <si>
    <t>R2</t>
  </si>
  <si>
    <t>R3</t>
  </si>
  <si>
    <t>R4</t>
  </si>
  <si>
    <t>R5</t>
  </si>
  <si>
    <t>X</t>
  </si>
  <si>
    <t xml:space="preserve">Đánh giá chung: Phóng điện </t>
  </si>
  <si>
    <r>
      <t>Ghi chú: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Dấu (-) là điều kiện xét không phù hợp, không xác định được. Lấy mẫu thí nghiệm lại.</t>
    </r>
  </si>
  <si>
    <t xml:space="preserve">                  Chỉ xét khi nồng độ một trong các khí (H2,CH4,C2H4,C2H2,C2H6,CO) &gt; L1 (L1-nồng độ giới hạn của khí tương ứng)</t>
  </si>
  <si>
    <t>triangle</t>
  </si>
  <si>
    <t>Kết quả thí nghiệm mẫu</t>
  </si>
  <si>
    <t>Nồng độ gới hạn đối với các dạng LTC</t>
  </si>
  <si>
    <t>LTC Type</t>
  </si>
  <si>
    <t>&gt;1500</t>
  </si>
  <si>
    <t>&gt;1000</t>
  </si>
  <si>
    <t>LTC dạng hở (thở qua bộ khử ẩm)</t>
  </si>
  <si>
    <t>&gt;5000</t>
  </si>
  <si>
    <t>&gt;1200</t>
  </si>
  <si>
    <t>&gt;9000</t>
  </si>
  <si>
    <t>LTC dạng kín</t>
  </si>
  <si>
    <t>&gt;10</t>
  </si>
  <si>
    <t>&gt;100</t>
  </si>
  <si>
    <t>&gt;5</t>
  </si>
  <si>
    <t>LTC loại chân không</t>
  </si>
  <si>
    <t>Đánh giá kết quả</t>
  </si>
  <si>
    <t>Phương pháp đánh giá</t>
  </si>
  <si>
    <t>Kết quả đánh giá</t>
  </si>
  <si>
    <t>1/ Xử lý theo tỷ số khí</t>
  </si>
  <si>
    <t>2/ Xử lý theo Don W.Rose</t>
  </si>
  <si>
    <t>3/ Xử lý theo Hãng ABB</t>
  </si>
  <si>
    <t>4/ Xử lý theo PowerTech Labs Inc.</t>
  </si>
  <si>
    <t>5/ Xử lý theo Duval Triangle 2</t>
  </si>
  <si>
    <t>N</t>
  </si>
  <si>
    <t>X3</t>
  </si>
  <si>
    <t>X1</t>
  </si>
  <si>
    <t>Phân hủy nhiệt T2+T3 hoặc phóng điện D2</t>
  </si>
  <si>
    <t>Phóng điện bình thường D1</t>
  </si>
  <si>
    <t>Phóng điện D1 + phân hủy nhiệt T1</t>
  </si>
  <si>
    <t>Phân hủy nhiệt T3 &gt;700 độ (tạo nhiều muội than)</t>
  </si>
  <si>
    <t>Phân hủy nhiệt 300&lt;T3&lt;700 độ (tạo muội than)</t>
  </si>
  <si>
    <t>Tỷ số</t>
  </si>
  <si>
    <t>C2H4/C2H2</t>
  </si>
  <si>
    <t>C2H4/(C2H2+H2)</t>
  </si>
  <si>
    <t>(C2H4+C2H6+CH4)/(C2H2+H2)</t>
  </si>
  <si>
    <t>C2H4/CH4</t>
  </si>
  <si>
    <t>Giới hạn</t>
  </si>
  <si>
    <t xml:space="preserve"> Tỷ số của mẫu TN</t>
  </si>
  <si>
    <t>2/ Xử lý theo Don W. Rose</t>
  </si>
  <si>
    <t>Key=CH4+C2H6+C2H4</t>
  </si>
  <si>
    <t>Total=Key+C2H2+H2</t>
  </si>
  <si>
    <t>Key/Total (%)</t>
  </si>
  <si>
    <t>Key/C2H2 (%)</t>
  </si>
  <si>
    <t>C2H4/C2H2 (%)</t>
  </si>
  <si>
    <t>(CH4+C2H4+C2H6)/C2H2</t>
  </si>
  <si>
    <t>Tiêu chuẩn</t>
  </si>
  <si>
    <t>&lt; 0.5</t>
  </si>
  <si>
    <t>&gt;0.5,&lt;1.0</t>
  </si>
  <si>
    <t>Kiểm tra lại mẫu sau 3-6 tháng</t>
  </si>
  <si>
    <t>&gt;1, &lt;3</t>
  </si>
  <si>
    <t>Kiểm tra lại mẫu sau 1-3 tháng</t>
  </si>
  <si>
    <t>&gt;3, &lt;5</t>
  </si>
  <si>
    <t>Kiểm tra lại mẫu sau 1 tháng</t>
  </si>
  <si>
    <t>&gt;=5.0</t>
  </si>
  <si>
    <t>Xuất hiện quá nhiệt, kiểm tra tiếp điểm</t>
  </si>
  <si>
    <t>(Điều kiện xác định khi C2H2&gt;500ppm)</t>
  </si>
  <si>
    <t>(Điều kiện tính khi ít nhất có một khí thành phần vượt giới hạn)</t>
  </si>
  <si>
    <t>C2H2/TDCG</t>
  </si>
  <si>
    <t>(C2H2+CH4+H2)/TDCG</t>
  </si>
  <si>
    <t>Log(C2H4/C2H2)</t>
  </si>
  <si>
    <t>Log[(C2H4+C2H6)/C2H2]</t>
  </si>
  <si>
    <t>0.3-1.0</t>
  </si>
  <si>
    <t>0.7-1.0</t>
  </si>
  <si>
    <t>&lt;0</t>
  </si>
  <si>
    <t>&lt;0.3</t>
  </si>
  <si>
    <t>&lt;0.7</t>
  </si>
  <si>
    <t>0-0.5</t>
  </si>
  <si>
    <t>&lt;=0.1</t>
  </si>
  <si>
    <t>&gt;0.5</t>
  </si>
  <si>
    <t>TDCG</t>
  </si>
  <si>
    <t>C2H4+C2H6</t>
  </si>
  <si>
    <t>Tỷ số của mẫu thí nghiệm</t>
  </si>
  <si>
    <t>Cảnh báo</t>
  </si>
  <si>
    <t>Sự cố</t>
  </si>
  <si>
    <t>1/ Xử lý kết quả theo tỷ số khí</t>
  </si>
  <si>
    <t>Duval Triangle 2 cho OLTC</t>
  </si>
  <si>
    <t>Trạm 110kV Điện Biên</t>
  </si>
  <si>
    <t xml:space="preserve">MBA T1 25MVA-110kV Số </t>
  </si>
  <si>
    <t>Thùng dầu OLTC</t>
  </si>
  <si>
    <t>27/1/2010</t>
  </si>
  <si>
    <t>Đánh giá chung</t>
  </si>
  <si>
    <r>
      <t>Tên thiết bị</t>
    </r>
    <r>
      <rPr>
        <sz val="12"/>
        <rFont val="Times New Roman"/>
        <family val="1"/>
      </rPr>
      <t xml:space="preserve">:    </t>
    </r>
  </si>
  <si>
    <t>Phóng điện năng lượng thấp (D1)</t>
  </si>
  <si>
    <t>Phóng điện cục bộ năng lượng thấp (PD)</t>
  </si>
  <si>
    <t>Phóng tia lửa điện (D1)</t>
  </si>
  <si>
    <t>Phóng hồ quang điện (D2)</t>
  </si>
  <si>
    <t>Phân hủy nhiệt ở nhiệt độ 300&lt;T&lt;700 (T2)</t>
  </si>
  <si>
    <t>Phân hủy nhiệt ở nhiệt độ t&lt;700, chuyển sang phóng điện cục bộ PD (T2)</t>
  </si>
  <si>
    <t>Phân hủy nhiệt ở nhiệt độ t&lt;700, cháy dao lựa chọn (T2)</t>
  </si>
  <si>
    <t>Phân hủy nhiệt ở nhiệt độ t &gt; 700 (T3)</t>
  </si>
  <si>
    <t>Phân hủy nhiệt ở nhiệt độ t &gt;700, ngắn mạch từ (T3)</t>
  </si>
  <si>
    <t>Phân hủy nhiệt ở nhiệt độ t &gt;700, tiếp xúc kém (T3)</t>
  </si>
  <si>
    <t>Phân hủy nhiệt ở nhiệt độ t&gt;700, cháy tiếp điểm dao cắt (T3)</t>
  </si>
  <si>
    <t>Gridlines</t>
  </si>
  <si>
    <t>Gridline</t>
  </si>
  <si>
    <t>Area</t>
  </si>
  <si>
    <t>Points</t>
  </si>
  <si>
    <t>PD1</t>
  </si>
  <si>
    <t>PD2</t>
  </si>
  <si>
    <t>PD3</t>
  </si>
  <si>
    <t>PD4</t>
  </si>
  <si>
    <t>O</t>
  </si>
  <si>
    <t>O1</t>
  </si>
  <si>
    <t>O2</t>
  </si>
  <si>
    <t>O3</t>
  </si>
  <si>
    <t>O4</t>
  </si>
  <si>
    <t>ND</t>
  </si>
  <si>
    <t>ND1</t>
  </si>
  <si>
    <t>ND2</t>
  </si>
  <si>
    <t>ND3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</si>
  <si>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</si>
  <si>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</si>
  <si>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</si>
  <si>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</si>
  <si>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</si>
  <si>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</si>
  <si>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</si>
  <si>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</si>
  <si>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</si>
  <si>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</si>
  <si>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</si>
  <si>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</si>
  <si>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</si>
  <si>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</t>
  </si>
  <si>
    <t>C1</t>
  </si>
  <si>
    <t>C2</t>
  </si>
  <si>
    <t>C3</t>
  </si>
  <si>
    <t>C4</t>
  </si>
  <si>
    <t>C5</t>
  </si>
  <si>
    <t>C6</t>
  </si>
  <si>
    <t>III/ Duval Triangle 4 cho trường hợp quá nhiệt ở nhiệt độ thấp</t>
  </si>
  <si>
    <t>(Dùng khi Triangle 1 phát hiện: PD, T1, T2)</t>
  </si>
  <si>
    <t>T</t>
  </si>
  <si>
    <t>ppm</t>
  </si>
  <si>
    <t>%</t>
  </si>
  <si>
    <t>Xc</t>
  </si>
  <si>
    <t>Yc</t>
  </si>
  <si>
    <t>Khí lạc trong dầu (T&lt;200 độ)</t>
  </si>
  <si>
    <t>Điểm nóng hình thành C trong giấy</t>
  </si>
  <si>
    <t>Quá nhiệt</t>
  </si>
  <si>
    <t>Không xác định</t>
  </si>
  <si>
    <t>IV/ Duval Triangle 5 cho trường hợp quá nhiệt ở nhiệt độ cao</t>
  </si>
  <si>
    <t>CH4(%)</t>
  </si>
  <si>
    <t>C2H4(%)</t>
  </si>
  <si>
    <t>C2H6(%)</t>
  </si>
  <si>
    <t>ND4</t>
  </si>
  <si>
    <t>O5</t>
  </si>
  <si>
    <t>O6</t>
  </si>
  <si>
    <t>O7</t>
  </si>
  <si>
    <t>O8</t>
  </si>
  <si>
    <t>O9</t>
  </si>
  <si>
    <t>T21</t>
  </si>
  <si>
    <t>T22</t>
  </si>
  <si>
    <t>T23</t>
  </si>
  <si>
    <t>T24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</si>
  <si>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</si>
  <si>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</si>
  <si>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</si>
  <si>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</si>
  <si>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</si>
  <si>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</si>
  <si>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</si>
  <si>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</si>
  <si>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</si>
  <si>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series 10</t>
  </si>
  <si>
    <t>series 6</t>
  </si>
  <si>
    <t>Quá nhiệt 300 &lt; T &lt; 700 (độ C)</t>
  </si>
  <si>
    <t>Quá nhiệt T &gt; 700 (độ C)</t>
  </si>
  <si>
    <t>10/ Duval Triangle 4 (Quá nhiệt ở nhiệt độ thấp)</t>
  </si>
  <si>
    <t>FR=(C2H2+H2)/TKC</t>
  </si>
  <si>
    <t>R1=(CH4+C2H6+C2H4)/(CH4+C2H6+C2H4+C2H2)</t>
  </si>
  <si>
    <t>R2=(CH4+C2H6+C2H4)/C2H2</t>
  </si>
  <si>
    <t>R3=C2H4/C2H2</t>
  </si>
  <si>
    <t>Ký hiệu</t>
  </si>
  <si>
    <t>FR</t>
  </si>
  <si>
    <t>Value</t>
  </si>
  <si>
    <t>Attetion</t>
  </si>
  <si>
    <t>Công thức tính</t>
  </si>
  <si>
    <t>&lt;=0.6</t>
  </si>
  <si>
    <t>&lt;=0.35</t>
  </si>
  <si>
    <t>&lt;=0.15</t>
  </si>
  <si>
    <t>&gt;=0.5</t>
  </si>
  <si>
    <t>&gt;=0.6</t>
  </si>
  <si>
    <t>&gt;=0.8</t>
  </si>
  <si>
    <t>&gt;=4</t>
  </si>
  <si>
    <t>&gt;=6</t>
  </si>
  <si>
    <t>&gt;=1</t>
  </si>
  <si>
    <t>&gt;=9</t>
  </si>
  <si>
    <t>5/ Phương pháp tỷ số cho trường hợp công tắc bị quá nhiệt (Schellhase et al. 1999).</t>
  </si>
  <si>
    <t>CH4+C2H4+C2H6+C2H2</t>
  </si>
  <si>
    <t>Fault</t>
  </si>
  <si>
    <t>Attention</t>
  </si>
  <si>
    <t>Result</t>
  </si>
  <si>
    <t>Caution</t>
  </si>
  <si>
    <t>Validition</t>
  </si>
  <si>
    <t>B1=(C2H2)/TKC</t>
  </si>
  <si>
    <t>B3=LOG(C2H4/C2H2)</t>
  </si>
  <si>
    <t>B4=LOG[(C2H4+C2H6)/C2H2]</t>
  </si>
  <si>
    <t>B1</t>
  </si>
  <si>
    <t>B2</t>
  </si>
  <si>
    <t>B3</t>
  </si>
  <si>
    <t>B4</t>
  </si>
  <si>
    <t>B2=(C2H2+CH4+H2/TKC</t>
  </si>
  <si>
    <t>CH4+C2H2+H2</t>
  </si>
  <si>
    <t>6/ Phương pháp tỷ số cho trường hợp giới hạn cảnh báo (Schellhase et al. 1999).</t>
  </si>
  <si>
    <t>Duval Pentagon</t>
  </si>
  <si>
    <t>PPM</t>
  </si>
  <si>
    <t>Y</t>
  </si>
  <si>
    <t>Xi*Yi+1</t>
  </si>
  <si>
    <t>Xi+1*Yi</t>
  </si>
  <si>
    <t>B-C</t>
  </si>
  <si>
    <t>Xi+Xi+1</t>
  </si>
  <si>
    <t>Yi+Yi+1</t>
  </si>
  <si>
    <t>D*(B-C)</t>
  </si>
  <si>
    <t>E*(B-C)</t>
  </si>
  <si>
    <t>sum</t>
  </si>
  <si>
    <t>SUM</t>
  </si>
  <si>
    <t>A=</t>
  </si>
  <si>
    <t>Cx</t>
  </si>
  <si>
    <t>Cy</t>
  </si>
  <si>
    <t>A= SUM(B-C)/2</t>
  </si>
  <si>
    <t>Cx=SUM[D*(B-C)]/(6*A)</t>
  </si>
  <si>
    <t>Cy=SUM[E*(B-C)]/(6*A)</t>
  </si>
  <si>
    <t>Pentagon-Thí dụ</t>
  </si>
  <si>
    <t>GAS</t>
  </si>
  <si>
    <t>Tâm - Pentagon (Centroid)</t>
  </si>
  <si>
    <t>Pentagon</t>
  </si>
  <si>
    <t>Pentegon 1+2</t>
  </si>
  <si>
    <t>Đường kẻ nối tâm</t>
  </si>
  <si>
    <t>H2-100%</t>
  </si>
  <si>
    <t>C2H6-100%</t>
  </si>
  <si>
    <t>CH4-100%</t>
  </si>
  <si>
    <t>C2H4-100%</t>
  </si>
  <si>
    <t>C2H2-100%</t>
  </si>
  <si>
    <t>T3-H</t>
  </si>
  <si>
    <t>COS(RADIANS(18))</t>
  </si>
  <si>
    <t>SIN(RADIANS(18))</t>
  </si>
  <si>
    <t>COS(RADIANS(54))</t>
  </si>
  <si>
    <t>SIN(RADIANS(54))</t>
  </si>
  <si>
    <t>Quá nhiệt T3 chỉ trong dầu</t>
  </si>
  <si>
    <t>Triangle - 1</t>
  </si>
  <si>
    <t>Triangle-4</t>
  </si>
  <si>
    <t>Triangle-5</t>
  </si>
  <si>
    <t>Tính Tâm điểm của Pentagon</t>
  </si>
  <si>
    <t>To</t>
  </si>
  <si>
    <r>
      <t>Quá nhiệt T&lt;150</t>
    </r>
    <r>
      <rPr>
        <vertAlign val="superscript"/>
        <sz val="14"/>
        <rFont val="Times New Roman"/>
        <family val="1"/>
      </rPr>
      <t>o</t>
    </r>
    <r>
      <rPr>
        <sz val="14"/>
        <rFont val="Times New Roman"/>
        <family val="1"/>
      </rPr>
      <t>C</t>
    </r>
  </si>
  <si>
    <t>1/ Phương pháp tỷ số theo IEC60599-2015</t>
  </si>
  <si>
    <t>2/ Phương pháp tỷ số theo ROGER (IEEE C57.104.2019)</t>
  </si>
  <si>
    <t>3/ Phương pháp tỷ số theo DOERNENBURG (IEEE C57.104.2019)</t>
  </si>
  <si>
    <t>4/ Phương pháp tỷ số theo tiêu chuẩn Nga-2000</t>
  </si>
  <si>
    <t>5/ Phương pháp biểu đồ theo khí cơ bản (IEEE C57.104.2019)</t>
  </si>
  <si>
    <t>7/ Phương pháp biểu đồ 2 tỷ số (IEC 60599-2015)</t>
  </si>
  <si>
    <t>8/ Phương pháp biểu đồ 3 tỷ số - Duval Triangle (IEC 60599-2015)</t>
  </si>
  <si>
    <t>12/ Duval Pentagon - 1</t>
  </si>
  <si>
    <t>13/ Duval Pentagon - 2</t>
  </si>
  <si>
    <t>KL</t>
  </si>
  <si>
    <t>11/ Duval Triangle 5 (Quá nhiệt ở nhiệt độ cao)</t>
  </si>
  <si>
    <t>IEC 60599-2015</t>
  </si>
  <si>
    <t>IEEE C57.104-2019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</si>
  <si>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</si>
  <si>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</si>
  <si>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</si>
  <si>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</si>
  <si>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</si>
  <si>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</si>
  <si>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</si>
  <si>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</si>
  <si>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</si>
  <si>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</si>
  <si>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</si>
  <si>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a</t>
  </si>
  <si>
    <t>b</t>
  </si>
  <si>
    <t>P-1</t>
  </si>
  <si>
    <t>P-2</t>
  </si>
  <si>
    <r>
      <t>Khí lạc trong dầu (T&lt;200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c)</t>
    </r>
  </si>
  <si>
    <r>
      <t>Quá nhiệt 300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C &lt; T &lt; 700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C</t>
    </r>
  </si>
  <si>
    <r>
      <t>Quá nhiệt T &gt; 700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C</t>
    </r>
  </si>
  <si>
    <t>Phóng điện năng lượng thấp</t>
  </si>
  <si>
    <t>Phóng điện năng lượng cao</t>
  </si>
  <si>
    <r>
      <t>Quá nhiệt T &lt; 300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C</t>
    </r>
  </si>
  <si>
    <t>NEI = Normalized Energy Intensity</t>
  </si>
  <si>
    <t>NEIoil</t>
  </si>
  <si>
    <t>NEI3oil</t>
  </si>
  <si>
    <t>NEIpaper</t>
  </si>
  <si>
    <t>(IEEE C57.104-2019)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</si>
</sst>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.0"/>
    <numFmt numFmtId="181" formatCode="0.00000"/>
    <numFmt numFmtId="182" formatCode="0.0000"/>
    <numFmt numFmtId="183" formatCode="0.000"/>
  </numFmts>
  <fonts count="38" x14ac:knownFonts="1">
    <font>
      <sz val="10"/>
      <name val="Arial"/>
    </font>
    <font>
      <sz val="8"/>
      <name val="Arial"/>
      <family val="2"/>
      <charset val="163"/>
    </font>
    <font>
      <sz val="14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  <font>
      <i/>
      <u/>
      <sz val="10"/>
      <name val="Times New Roman"/>
      <family val="1"/>
    </font>
    <font>
      <sz val="10"/>
      <name val="Times New Roman"/>
      <family val="1"/>
    </font>
    <font>
      <b/>
      <u/>
      <sz val="14"/>
      <name val="Times New Roman"/>
      <family val="1"/>
    </font>
    <font>
      <sz val="9"/>
      <name val="Arial"/>
      <family val="2"/>
      <charset val="163"/>
    </font>
    <font>
      <sz val="10"/>
      <name val="Arial"/>
      <family val="2"/>
    </font>
    <font>
      <sz val="12"/>
      <name val="Arial"/>
      <family val="2"/>
      <charset val="163"/>
    </font>
    <font>
      <b/>
      <u/>
      <sz val="12"/>
      <name val="Times New Roman"/>
      <family val="1"/>
    </font>
    <font>
      <u/>
      <sz val="12"/>
      <name val="Times New Roman"/>
      <family val="1"/>
    </font>
    <font>
      <b/>
      <sz val="8"/>
      <name val="Times New Roman"/>
      <family val="1"/>
    </font>
    <font>
      <b/>
      <sz val="10"/>
      <name val="Arial"/>
      <family val="2"/>
    </font>
    <font>
      <i/>
      <sz val="14"/>
      <name val="Times New Roman"/>
      <family val="1"/>
    </font>
    <font>
      <i/>
      <sz val="14"/>
      <color indexed="8"/>
      <name val="Times New Roman"/>
      <family val="1"/>
    </font>
    <font>
      <b/>
      <i/>
      <sz val="12"/>
      <name val="Times New Roman"/>
      <family val="1"/>
    </font>
    <font>
      <sz val="14"/>
      <name val="Arial"/>
      <family val="2"/>
      <charset val="163"/>
    </font>
    <font>
      <sz val="14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name val="Times New Roman"/>
      <family val="1"/>
    </font>
    <font>
      <sz val="11"/>
      <name val="Arial"/>
      <family val="2"/>
    </font>
    <font>
      <b/>
      <sz val="14"/>
      <name val="Times New Roman"/>
      <family val="1"/>
      <charset val="163"/>
    </font>
    <font>
      <vertAlign val="superscript"/>
      <sz val="14"/>
      <name val="Times New Roman"/>
      <family val="1"/>
    </font>
    <font>
      <vertAlign val="superscript"/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Border="1" applyAlignment="1">
      <alignment horizontal="left"/>
    </xf>
    <xf numFmtId="0" fontId="6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2" fillId="0" borderId="2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182" fontId="0" fillId="0" borderId="2" xfId="0" applyNumberFormat="1" applyBorder="1" applyAlignment="1">
      <alignment horizontal="center"/>
    </xf>
    <xf numFmtId="0" fontId="12" fillId="0" borderId="0" xfId="0" applyFont="1"/>
    <xf numFmtId="0" fontId="5" fillId="0" borderId="2" xfId="0" applyFont="1" applyBorder="1"/>
    <xf numFmtId="0" fontId="6" fillId="0" borderId="5" xfId="0" applyFont="1" applyBorder="1" applyAlignment="1"/>
    <xf numFmtId="0" fontId="6" fillId="0" borderId="0" xfId="0" applyFont="1" applyBorder="1" applyAlignment="1"/>
    <xf numFmtId="0" fontId="0" fillId="0" borderId="0" xfId="0" applyBorder="1"/>
    <xf numFmtId="0" fontId="12" fillId="0" borderId="0" xfId="0" applyFont="1" applyBorder="1"/>
    <xf numFmtId="0" fontId="10" fillId="0" borderId="0" xfId="0" applyFont="1"/>
    <xf numFmtId="0" fontId="13" fillId="0" borderId="0" xfId="0" applyFont="1"/>
    <xf numFmtId="0" fontId="5" fillId="0" borderId="2" xfId="0" applyFont="1" applyBorder="1" applyAlignment="1">
      <alignment horizontal="right"/>
    </xf>
    <xf numFmtId="183" fontId="6" fillId="0" borderId="0" xfId="0" applyNumberFormat="1" applyFont="1"/>
    <xf numFmtId="2" fontId="6" fillId="0" borderId="0" xfId="0" applyNumberFormat="1" applyFont="1" applyAlignment="1">
      <alignment horizontal="right"/>
    </xf>
    <xf numFmtId="183" fontId="6" fillId="0" borderId="0" xfId="0" applyNumberFormat="1" applyFont="1" applyAlignment="1">
      <alignment horizontal="right"/>
    </xf>
    <xf numFmtId="0" fontId="5" fillId="0" borderId="0" xfId="0" applyFont="1" applyBorder="1"/>
    <xf numFmtId="0" fontId="6" fillId="0" borderId="6" xfId="0" applyFont="1" applyBorder="1" applyAlignment="1">
      <alignment horizontal="center"/>
    </xf>
    <xf numFmtId="0" fontId="14" fillId="0" borderId="0" xfId="0" applyFont="1"/>
    <xf numFmtId="0" fontId="6" fillId="0" borderId="0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5" fillId="0" borderId="2" xfId="0" applyNumberFormat="1" applyFont="1" applyBorder="1"/>
    <xf numFmtId="2" fontId="5" fillId="0" borderId="1" xfId="0" applyNumberFormat="1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Fill="1" applyBorder="1" applyAlignment="1">
      <alignment horizontal="center"/>
    </xf>
    <xf numFmtId="2" fontId="5" fillId="0" borderId="0" xfId="0" applyNumberFormat="1" applyFont="1" applyBorder="1"/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5" fillId="0" borderId="0" xfId="0" applyFont="1"/>
    <xf numFmtId="0" fontId="5" fillId="0" borderId="1" xfId="0" applyFont="1" applyBorder="1"/>
    <xf numFmtId="0" fontId="6" fillId="0" borderId="2" xfId="0" applyFont="1" applyBorder="1"/>
    <xf numFmtId="0" fontId="6" fillId="0" borderId="1" xfId="0" applyFont="1" applyBorder="1"/>
    <xf numFmtId="180" fontId="6" fillId="0" borderId="2" xfId="0" applyNumberFormat="1" applyFont="1" applyBorder="1"/>
    <xf numFmtId="0" fontId="6" fillId="0" borderId="6" xfId="0" applyFont="1" applyBorder="1"/>
    <xf numFmtId="2" fontId="6" fillId="0" borderId="0" xfId="0" applyNumberFormat="1" applyFont="1" applyBorder="1"/>
    <xf numFmtId="0" fontId="5" fillId="0" borderId="7" xfId="0" applyFont="1" applyBorder="1"/>
    <xf numFmtId="2" fontId="5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" fontId="6" fillId="0" borderId="0" xfId="0" applyNumberFormat="1" applyFont="1" applyFill="1" applyBorder="1" applyAlignment="1"/>
    <xf numFmtId="1" fontId="6" fillId="0" borderId="6" xfId="0" applyNumberFormat="1" applyFont="1" applyBorder="1" applyAlignment="1">
      <alignment horizontal="center"/>
    </xf>
    <xf numFmtId="1" fontId="6" fillId="0" borderId="6" xfId="0" applyNumberFormat="1" applyFont="1" applyFill="1" applyBorder="1" applyAlignment="1"/>
    <xf numFmtId="1" fontId="6" fillId="0" borderId="0" xfId="0" applyNumberFormat="1" applyFont="1" applyBorder="1" applyAlignment="1"/>
    <xf numFmtId="0" fontId="6" fillId="0" borderId="8" xfId="0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5" fillId="0" borderId="6" xfId="0" applyNumberFormat="1" applyFont="1" applyBorder="1"/>
    <xf numFmtId="2" fontId="5" fillId="0" borderId="6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82" fontId="0" fillId="0" borderId="0" xfId="0" applyNumberFormat="1" applyBorder="1"/>
    <xf numFmtId="0" fontId="5" fillId="0" borderId="0" xfId="0" applyFont="1" applyBorder="1" applyAlignment="1">
      <alignment horizontal="right"/>
    </xf>
    <xf numFmtId="183" fontId="6" fillId="0" borderId="0" xfId="0" applyNumberFormat="1" applyFont="1" applyBorder="1"/>
    <xf numFmtId="2" fontId="6" fillId="0" borderId="0" xfId="0" applyNumberFormat="1" applyFont="1" applyBorder="1" applyAlignment="1">
      <alignment horizontal="right"/>
    </xf>
    <xf numFmtId="183" fontId="6" fillId="0" borderId="0" xfId="0" applyNumberFormat="1" applyFont="1" applyBorder="1" applyAlignment="1">
      <alignment horizontal="right"/>
    </xf>
    <xf numFmtId="1" fontId="6" fillId="0" borderId="0" xfId="0" applyNumberFormat="1" applyFont="1" applyBorder="1" applyAlignment="1">
      <alignment horizontal="center"/>
    </xf>
    <xf numFmtId="1" fontId="6" fillId="0" borderId="6" xfId="0" applyNumberFormat="1" applyFont="1" applyFill="1" applyBorder="1" applyAlignment="1">
      <alignment horizontal="center"/>
    </xf>
    <xf numFmtId="0" fontId="0" fillId="0" borderId="0" xfId="0" applyBorder="1" applyAlignment="1"/>
    <xf numFmtId="1" fontId="6" fillId="0" borderId="5" xfId="0" applyNumberFormat="1" applyFont="1" applyFill="1" applyBorder="1" applyAlignment="1">
      <alignment horizontal="center"/>
    </xf>
    <xf numFmtId="1" fontId="6" fillId="0" borderId="10" xfId="0" applyNumberFormat="1" applyFont="1" applyFill="1" applyBorder="1" applyAlignment="1">
      <alignment horizontal="center"/>
    </xf>
    <xf numFmtId="1" fontId="6" fillId="0" borderId="11" xfId="0" applyNumberFormat="1" applyFont="1" applyBorder="1" applyAlignment="1">
      <alignment horizontal="center"/>
    </xf>
    <xf numFmtId="1" fontId="6" fillId="0" borderId="12" xfId="0" applyNumberFormat="1" applyFont="1" applyFill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1" fontId="6" fillId="0" borderId="13" xfId="0" applyNumberFormat="1" applyFont="1" applyFill="1" applyBorder="1" applyAlignment="1">
      <alignment horizontal="center"/>
    </xf>
    <xf numFmtId="1" fontId="6" fillId="0" borderId="8" xfId="0" applyNumberFormat="1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80" fontId="6" fillId="0" borderId="6" xfId="0" applyNumberFormat="1" applyFont="1" applyBorder="1" applyAlignment="1">
      <alignment horizontal="center"/>
    </xf>
    <xf numFmtId="180" fontId="6" fillId="0" borderId="1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4" fillId="0" borderId="2" xfId="0" applyFont="1" applyBorder="1"/>
    <xf numFmtId="0" fontId="0" fillId="0" borderId="2" xfId="0" applyBorder="1"/>
    <xf numFmtId="0" fontId="14" fillId="0" borderId="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14" fillId="2" borderId="2" xfId="0" applyFont="1" applyFill="1" applyBorder="1"/>
    <xf numFmtId="1" fontId="6" fillId="2" borderId="7" xfId="0" applyNumberFormat="1" applyFont="1" applyFill="1" applyBorder="1" applyAlignment="1">
      <alignment horizontal="center"/>
    </xf>
    <xf numFmtId="0" fontId="14" fillId="3" borderId="2" xfId="0" applyFont="1" applyFill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2" borderId="2" xfId="0" applyFill="1" applyBorder="1"/>
    <xf numFmtId="0" fontId="19" fillId="0" borderId="0" xfId="0" applyFont="1"/>
    <xf numFmtId="0" fontId="0" fillId="0" borderId="3" xfId="0" applyBorder="1" applyAlignment="1">
      <alignment horizontal="left"/>
    </xf>
    <xf numFmtId="0" fontId="18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20" fillId="4" borderId="0" xfId="0" applyFont="1" applyFill="1" applyAlignment="1"/>
    <xf numFmtId="0" fontId="20" fillId="4" borderId="0" xfId="0" applyFont="1" applyFill="1"/>
    <xf numFmtId="2" fontId="0" fillId="2" borderId="2" xfId="0" applyNumberFormat="1" applyFill="1" applyBorder="1"/>
    <xf numFmtId="0" fontId="6" fillId="5" borderId="2" xfId="0" applyFont="1" applyFill="1" applyBorder="1"/>
    <xf numFmtId="0" fontId="10" fillId="2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0" fontId="10" fillId="5" borderId="2" xfId="0" applyFont="1" applyFill="1" applyBorder="1"/>
    <xf numFmtId="0" fontId="6" fillId="0" borderId="1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83" fontId="0" fillId="0" borderId="0" xfId="0" applyNumberFormat="1"/>
    <xf numFmtId="0" fontId="6" fillId="5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8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183" fontId="6" fillId="0" borderId="2" xfId="0" applyNumberFormat="1" applyFont="1" applyBorder="1"/>
    <xf numFmtId="0" fontId="21" fillId="0" borderId="0" xfId="0" applyFont="1" applyFill="1" applyBorder="1"/>
    <xf numFmtId="0" fontId="5" fillId="0" borderId="0" xfId="0" applyFont="1" applyFill="1" applyBorder="1"/>
    <xf numFmtId="183" fontId="6" fillId="0" borderId="0" xfId="0" applyNumberFormat="1" applyFont="1" applyFill="1" applyBorder="1"/>
    <xf numFmtId="0" fontId="6" fillId="0" borderId="0" xfId="0" applyFont="1" applyFill="1" applyBorder="1"/>
    <xf numFmtId="2" fontId="21" fillId="0" borderId="0" xfId="0" applyNumberFormat="1" applyFont="1" applyFill="1" applyBorder="1"/>
    <xf numFmtId="2" fontId="5" fillId="0" borderId="0" xfId="0" applyNumberFormat="1" applyFont="1" applyFill="1" applyBorder="1"/>
    <xf numFmtId="0" fontId="0" fillId="0" borderId="0" xfId="0" applyFill="1" applyBorder="1"/>
    <xf numFmtId="0" fontId="13" fillId="0" borderId="0" xfId="0" applyFont="1" applyFill="1" applyBorder="1"/>
    <xf numFmtId="0" fontId="6" fillId="0" borderId="1" xfId="0" applyFont="1" applyBorder="1" applyAlignment="1"/>
    <xf numFmtId="182" fontId="6" fillId="0" borderId="2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1" fontId="6" fillId="0" borderId="2" xfId="0" applyNumberFormat="1" applyFont="1" applyBorder="1"/>
    <xf numFmtId="0" fontId="7" fillId="0" borderId="6" xfId="0" applyFont="1" applyBorder="1"/>
    <xf numFmtId="0" fontId="5" fillId="0" borderId="6" xfId="0" applyFont="1" applyBorder="1" applyAlignment="1">
      <alignment horizontal="right"/>
    </xf>
    <xf numFmtId="0" fontId="15" fillId="0" borderId="0" xfId="0" applyFont="1" applyBorder="1"/>
    <xf numFmtId="0" fontId="5" fillId="0" borderId="0" xfId="0" applyFont="1" applyBorder="1" applyAlignment="1"/>
    <xf numFmtId="2" fontId="6" fillId="0" borderId="2" xfId="0" quotePrefix="1" applyNumberFormat="1" applyFont="1" applyBorder="1" applyAlignment="1">
      <alignment horizontal="center"/>
    </xf>
    <xf numFmtId="0" fontId="5" fillId="0" borderId="2" xfId="0" applyFont="1" applyBorder="1" applyAlignment="1"/>
    <xf numFmtId="0" fontId="10" fillId="0" borderId="2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2" fontId="22" fillId="0" borderId="0" xfId="0" applyNumberFormat="1" applyFont="1"/>
    <xf numFmtId="0" fontId="22" fillId="2" borderId="0" xfId="0" applyFont="1" applyFill="1"/>
    <xf numFmtId="0" fontId="18" fillId="8" borderId="0" xfId="0" applyFont="1" applyFill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Font="1" applyFill="1" applyBorder="1"/>
    <xf numFmtId="0" fontId="0" fillId="0" borderId="2" xfId="0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8" borderId="2" xfId="0" applyNumberFormat="1" applyFill="1" applyBorder="1" applyAlignment="1">
      <alignment horizontal="center"/>
    </xf>
    <xf numFmtId="0" fontId="24" fillId="0" borderId="0" xfId="0" applyFont="1"/>
    <xf numFmtId="2" fontId="0" fillId="0" borderId="2" xfId="0" applyNumberFormat="1" applyBorder="1"/>
    <xf numFmtId="0" fontId="26" fillId="0" borderId="2" xfId="0" applyFont="1" applyBorder="1"/>
    <xf numFmtId="0" fontId="26" fillId="0" borderId="2" xfId="0" applyFont="1" applyBorder="1" applyAlignment="1">
      <alignment horizontal="center"/>
    </xf>
    <xf numFmtId="0" fontId="26" fillId="0" borderId="2" xfId="0" applyFont="1" applyFill="1" applyBorder="1" applyAlignment="1">
      <alignment horizontal="center"/>
    </xf>
    <xf numFmtId="0" fontId="13" fillId="8" borderId="2" xfId="0" applyFont="1" applyFill="1" applyBorder="1" applyAlignment="1">
      <alignment horizontal="center"/>
    </xf>
    <xf numFmtId="2" fontId="13" fillId="8" borderId="2" xfId="0" applyNumberFormat="1" applyFont="1" applyFill="1" applyBorder="1" applyAlignment="1">
      <alignment horizontal="center"/>
    </xf>
    <xf numFmtId="0" fontId="0" fillId="9" borderId="2" xfId="0" applyFill="1" applyBorder="1"/>
    <xf numFmtId="0" fontId="0" fillId="0" borderId="0" xfId="0" applyAlignment="1">
      <alignment horizontal="center" vertical="center" wrapText="1" shrinkToFit="1"/>
    </xf>
    <xf numFmtId="0" fontId="26" fillId="0" borderId="2" xfId="0" applyFont="1" applyFill="1" applyBorder="1"/>
    <xf numFmtId="0" fontId="13" fillId="0" borderId="2" xfId="0" applyFont="1" applyBorder="1"/>
    <xf numFmtId="0" fontId="18" fillId="0" borderId="2" xfId="0" applyFont="1" applyBorder="1"/>
    <xf numFmtId="0" fontId="18" fillId="8" borderId="2" xfId="0" applyFont="1" applyFill="1" applyBorder="1" applyAlignment="1">
      <alignment horizontal="center"/>
    </xf>
    <xf numFmtId="2" fontId="0" fillId="8" borderId="2" xfId="0" applyNumberFormat="1" applyFill="1" applyBorder="1" applyAlignment="1">
      <alignment horizontal="center"/>
    </xf>
    <xf numFmtId="2" fontId="0" fillId="0" borderId="0" xfId="0" applyNumberFormat="1" applyBorder="1"/>
    <xf numFmtId="0" fontId="13" fillId="0" borderId="0" xfId="0" applyFont="1" applyAlignment="1">
      <alignment horizontal="center"/>
    </xf>
    <xf numFmtId="0" fontId="26" fillId="0" borderId="7" xfId="0" applyFont="1" applyFill="1" applyBorder="1"/>
    <xf numFmtId="0" fontId="18" fillId="0" borderId="1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182" fontId="0" fillId="2" borderId="2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5" fillId="0" borderId="2" xfId="0" applyFont="1" applyBorder="1"/>
    <xf numFmtId="0" fontId="26" fillId="0" borderId="0" xfId="0" applyFont="1" applyBorder="1" applyAlignment="1">
      <alignment horizontal="center"/>
    </xf>
    <xf numFmtId="0" fontId="26" fillId="0" borderId="0" xfId="0" applyFont="1" applyBorder="1"/>
    <xf numFmtId="2" fontId="0" fillId="0" borderId="0" xfId="0" applyNumberFormat="1" applyBorder="1" applyAlignment="1">
      <alignment horizontal="center"/>
    </xf>
    <xf numFmtId="0" fontId="6" fillId="0" borderId="2" xfId="0" applyFont="1" applyBorder="1" applyAlignment="1"/>
    <xf numFmtId="0" fontId="6" fillId="8" borderId="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2" xfId="0" applyBorder="1"/>
    <xf numFmtId="0" fontId="0" fillId="0" borderId="15" xfId="0" applyBorder="1"/>
    <xf numFmtId="0" fontId="0" fillId="0" borderId="10" xfId="0" applyBorder="1"/>
    <xf numFmtId="0" fontId="0" fillId="8" borderId="1" xfId="0" applyFill="1" applyBorder="1"/>
    <xf numFmtId="183" fontId="25" fillId="0" borderId="2" xfId="0" applyNumberFormat="1" applyFont="1" applyBorder="1"/>
    <xf numFmtId="0" fontId="13" fillId="0" borderId="0" xfId="0" applyFont="1" applyBorder="1"/>
    <xf numFmtId="0" fontId="29" fillId="0" borderId="8" xfId="0" applyFont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0" fontId="28" fillId="0" borderId="2" xfId="0" applyFont="1" applyFill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18" fillId="0" borderId="0" xfId="0" applyFont="1" applyBorder="1"/>
    <xf numFmtId="1" fontId="2" fillId="0" borderId="6" xfId="0" applyNumberFormat="1" applyFont="1" applyFill="1" applyBorder="1" applyAlignment="1"/>
    <xf numFmtId="0" fontId="6" fillId="2" borderId="2" xfId="0" applyFont="1" applyFill="1" applyBorder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183" fontId="0" fillId="0" borderId="1" xfId="0" applyNumberFormat="1" applyBorder="1"/>
    <xf numFmtId="180" fontId="0" fillId="0" borderId="0" xfId="0" applyNumberFormat="1" applyAlignment="1">
      <alignment horizontal="center"/>
    </xf>
    <xf numFmtId="180" fontId="0" fillId="0" borderId="2" xfId="0" applyNumberFormat="1" applyBorder="1" applyAlignment="1">
      <alignment horizontal="center"/>
    </xf>
    <xf numFmtId="180" fontId="0" fillId="0" borderId="2" xfId="0" applyNumberFormat="1" applyBorder="1"/>
    <xf numFmtId="0" fontId="35" fillId="0" borderId="2" xfId="0" applyFont="1" applyBorder="1" applyAlignment="1">
      <alignment horizontal="center"/>
    </xf>
    <xf numFmtId="180" fontId="35" fillId="0" borderId="2" xfId="0" applyNumberFormat="1" applyFont="1" applyBorder="1" applyAlignment="1">
      <alignment horizontal="center"/>
    </xf>
    <xf numFmtId="180" fontId="35" fillId="0" borderId="2" xfId="0" applyNumberFormat="1" applyFont="1" applyBorder="1"/>
    <xf numFmtId="0" fontId="34" fillId="0" borderId="0" xfId="0" applyFont="1"/>
    <xf numFmtId="180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183" fontId="0" fillId="8" borderId="2" xfId="0" applyNumberFormat="1" applyFill="1" applyBorder="1"/>
    <xf numFmtId="0" fontId="34" fillId="9" borderId="0" xfId="0" applyFont="1" applyFill="1"/>
    <xf numFmtId="0" fontId="0" fillId="0" borderId="13" xfId="0" applyBorder="1" applyAlignment="1">
      <alignment horizontal="center"/>
    </xf>
    <xf numFmtId="0" fontId="27" fillId="0" borderId="0" xfId="0" applyFont="1" applyBorder="1"/>
    <xf numFmtId="0" fontId="0" fillId="0" borderId="0" xfId="0" applyBorder="1" applyAlignment="1">
      <alignment wrapText="1"/>
    </xf>
    <xf numFmtId="0" fontId="27" fillId="9" borderId="2" xfId="0" applyFont="1" applyFill="1" applyBorder="1"/>
    <xf numFmtId="0" fontId="23" fillId="9" borderId="2" xfId="0" applyFont="1" applyFill="1" applyBorder="1"/>
    <xf numFmtId="0" fontId="5" fillId="8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180" fontId="0" fillId="0" borderId="2" xfId="0" applyNumberFormat="1" applyFill="1" applyBorder="1" applyAlignment="1">
      <alignment horizontal="center"/>
    </xf>
    <xf numFmtId="180" fontId="0" fillId="8" borderId="1" xfId="0" applyNumberForma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36" fillId="9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0" borderId="0" xfId="0" applyFont="1" applyFill="1" applyBorder="1"/>
    <xf numFmtId="0" fontId="4" fillId="8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81" fontId="6" fillId="0" borderId="0" xfId="0" applyNumberFormat="1" applyFont="1"/>
    <xf numFmtId="0" fontId="25" fillId="0" borderId="2" xfId="0" applyFont="1" applyBorder="1" applyAlignment="1">
      <alignment horizontal="left" wrapText="1"/>
    </xf>
    <xf numFmtId="0" fontId="37" fillId="0" borderId="0" xfId="0" applyFont="1" applyAlignment="1">
      <alignment wrapText="1"/>
    </xf>
    <xf numFmtId="0" fontId="0" fillId="0" borderId="0" xfId="0" applyAlignment="1">
      <alignment wrapText="1"/>
    </xf>
    <xf numFmtId="0" fontId="25" fillId="0" borderId="1" xfId="0" applyFont="1" applyBorder="1" applyAlignment="1">
      <alignment wrapText="1" shrinkToFit="1"/>
    </xf>
    <xf numFmtId="0" fontId="25" fillId="0" borderId="3" xfId="0" applyFont="1" applyBorder="1" applyAlignment="1">
      <alignment wrapText="1" shrinkToFit="1"/>
    </xf>
    <xf numFmtId="0" fontId="25" fillId="0" borderId="4" xfId="0" applyFont="1" applyBorder="1" applyAlignment="1">
      <alignment wrapText="1" shrinkToFit="1"/>
    </xf>
    <xf numFmtId="0" fontId="26" fillId="9" borderId="7" xfId="0" applyFont="1" applyFill="1" applyBorder="1" applyAlignment="1">
      <alignment horizontal="center" vertical="center" wrapText="1" shrinkToFit="1"/>
    </xf>
    <xf numFmtId="0" fontId="26" fillId="9" borderId="8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left" wrapText="1" shrinkToFit="1"/>
    </xf>
    <xf numFmtId="0" fontId="0" fillId="0" borderId="3" xfId="0" applyBorder="1" applyAlignment="1">
      <alignment horizontal="left" wrapText="1" shrinkToFit="1"/>
    </xf>
    <xf numFmtId="0" fontId="0" fillId="0" borderId="4" xfId="0" applyBorder="1" applyAlignment="1">
      <alignment horizontal="left" wrapText="1" shrinkToFit="1"/>
    </xf>
    <xf numFmtId="0" fontId="6" fillId="6" borderId="1" xfId="0" applyFont="1" applyFill="1" applyBorder="1" applyAlignment="1">
      <alignment horizontal="center" vertical="center" wrapText="1" shrinkToFit="1"/>
    </xf>
    <xf numFmtId="0" fontId="13" fillId="0" borderId="3" xfId="0" applyFont="1" applyBorder="1" applyAlignment="1">
      <alignment horizontal="center" vertical="center" wrapText="1" shrinkToFit="1"/>
    </xf>
    <xf numFmtId="0" fontId="13" fillId="0" borderId="4" xfId="0" applyFont="1" applyBorder="1" applyAlignment="1">
      <alignment horizontal="center" vertical="center" wrapText="1" shrinkToFit="1"/>
    </xf>
    <xf numFmtId="0" fontId="6" fillId="6" borderId="1" xfId="0" applyFont="1" applyFill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25" fillId="8" borderId="1" xfId="0" applyFont="1" applyFill="1" applyBorder="1" applyAlignment="1">
      <alignment horizontal="center" vertical="center"/>
    </xf>
    <xf numFmtId="0" fontId="25" fillId="8" borderId="4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wrapText="1"/>
    </xf>
    <xf numFmtId="0" fontId="25" fillId="0" borderId="2" xfId="0" applyFont="1" applyBorder="1" applyAlignment="1">
      <alignment wrapText="1"/>
    </xf>
    <xf numFmtId="0" fontId="27" fillId="0" borderId="1" xfId="0" applyFont="1" applyBorder="1" applyAlignment="1">
      <alignment horizontal="center" vertical="center" shrinkToFit="1"/>
    </xf>
    <xf numFmtId="0" fontId="27" fillId="0" borderId="3" xfId="0" applyFont="1" applyBorder="1" applyAlignment="1">
      <alignment horizontal="center" vertical="center" shrinkToFit="1"/>
    </xf>
    <xf numFmtId="0" fontId="27" fillId="0" borderId="4" xfId="0" applyFont="1" applyBorder="1" applyAlignment="1">
      <alignment horizontal="center" vertical="center" shrinkToFit="1"/>
    </xf>
    <xf numFmtId="0" fontId="25" fillId="0" borderId="2" xfId="0" applyFont="1" applyBorder="1" applyAlignment="1">
      <alignment wrapText="1" shrinkToFit="1"/>
    </xf>
    <xf numFmtId="0" fontId="23" fillId="0" borderId="1" xfId="0" applyFont="1" applyBorder="1" applyAlignment="1">
      <alignment horizontal="center" vertical="center" shrinkToFit="1"/>
    </xf>
    <xf numFmtId="0" fontId="23" fillId="0" borderId="3" xfId="0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27" fillId="9" borderId="7" xfId="0" applyFont="1" applyFill="1" applyBorder="1" applyAlignment="1">
      <alignment horizontal="center" vertical="center" wrapText="1" shrinkToFit="1"/>
    </xf>
    <xf numFmtId="0" fontId="27" fillId="9" borderId="8" xfId="0" applyFont="1" applyFill="1" applyBorder="1" applyAlignment="1">
      <alignment horizontal="center" vertical="center" wrapText="1" shrinkToFit="1"/>
    </xf>
    <xf numFmtId="0" fontId="25" fillId="0" borderId="2" xfId="0" applyFont="1" applyFill="1" applyBorder="1" applyAlignment="1">
      <alignment wrapText="1" shrinkToFit="1"/>
    </xf>
    <xf numFmtId="2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0" fontId="9" fillId="0" borderId="1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6" fillId="6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6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2" borderId="0" xfId="0" applyFont="1" applyFill="1" applyAlignment="1" applyProtection="1">
      <alignment horizontal="left"/>
      <protection locked="0"/>
    </xf>
    <xf numFmtId="180" fontId="6" fillId="0" borderId="1" xfId="0" applyNumberFormat="1" applyFont="1" applyFill="1" applyBorder="1" applyAlignment="1">
      <alignment horizontal="center"/>
    </xf>
    <xf numFmtId="180" fontId="6" fillId="0" borderId="3" xfId="0" applyNumberFormat="1" applyFont="1" applyFill="1" applyBorder="1" applyAlignment="1">
      <alignment horizontal="center"/>
    </xf>
    <xf numFmtId="180" fontId="6" fillId="0" borderId="4" xfId="0" applyNumberFormat="1" applyFont="1" applyFill="1" applyBorder="1" applyAlignment="1">
      <alignment horizontal="center"/>
    </xf>
    <xf numFmtId="1" fontId="6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6" fillId="2" borderId="0" xfId="0" applyFont="1" applyFill="1" applyBorder="1" applyAlignment="1" applyProtection="1">
      <alignment horizontal="left"/>
      <protection locked="0"/>
    </xf>
    <xf numFmtId="0" fontId="18" fillId="0" borderId="0" xfId="0" applyFont="1" applyAlignment="1">
      <alignment horizontal="left"/>
    </xf>
    <xf numFmtId="0" fontId="31" fillId="5" borderId="11" xfId="0" applyFont="1" applyFill="1" applyBorder="1" applyAlignment="1">
      <alignment horizontal="center" vertical="center"/>
    </xf>
    <xf numFmtId="0" fontId="31" fillId="5" borderId="14" xfId="0" applyFont="1" applyFill="1" applyBorder="1" applyAlignment="1">
      <alignment horizontal="center" vertical="center"/>
    </xf>
    <xf numFmtId="0" fontId="31" fillId="5" borderId="9" xfId="0" applyFont="1" applyFill="1" applyBorder="1" applyAlignment="1">
      <alignment horizontal="center" vertical="center"/>
    </xf>
    <xf numFmtId="0" fontId="31" fillId="5" borderId="12" xfId="0" applyFont="1" applyFill="1" applyBorder="1" applyAlignment="1">
      <alignment horizontal="center" vertical="center"/>
    </xf>
    <xf numFmtId="0" fontId="31" fillId="5" borderId="15" xfId="0" applyFont="1" applyFill="1" applyBorder="1" applyAlignment="1">
      <alignment horizontal="center" vertical="center"/>
    </xf>
    <xf numFmtId="0" fontId="31" fillId="5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25" fillId="0" borderId="0" xfId="0" applyFont="1" applyFill="1" applyBorder="1" applyAlignment="1">
      <alignment wrapText="1" shrinkToFit="1"/>
    </xf>
    <xf numFmtId="0" fontId="25" fillId="0" borderId="0" xfId="0" applyFont="1" applyFill="1" applyBorder="1" applyAlignment="1">
      <alignment wrapText="1"/>
    </xf>
    <xf numFmtId="0" fontId="25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4" fillId="9" borderId="2" xfId="0" applyFont="1" applyFill="1" applyBorder="1" applyAlignment="1">
      <alignment wrapText="1"/>
    </xf>
    <xf numFmtId="0" fontId="27" fillId="9" borderId="2" xfId="0" applyFont="1" applyFill="1" applyBorder="1" applyAlignment="1">
      <alignment wrapText="1"/>
    </xf>
    <xf numFmtId="0" fontId="0" fillId="9" borderId="2" xfId="0" applyFill="1" applyBorder="1" applyAlignment="1">
      <alignment wrapText="1"/>
    </xf>
    <xf numFmtId="180" fontId="5" fillId="0" borderId="2" xfId="0" applyNumberFormat="1" applyFont="1" applyBorder="1" applyAlignment="1">
      <alignment horizontal="center" vertical="center" wrapText="1"/>
    </xf>
    <xf numFmtId="180" fontId="18" fillId="0" borderId="2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9" borderId="2" xfId="0" applyFill="1" applyBorder="1" applyAlignment="1">
      <alignment horizontal="left" wrapText="1"/>
    </xf>
    <xf numFmtId="0" fontId="34" fillId="9" borderId="15" xfId="0" applyFont="1" applyFill="1" applyBorder="1" applyAlignment="1">
      <alignment wrapText="1"/>
    </xf>
    <xf numFmtId="0" fontId="34" fillId="9" borderId="0" xfId="0" applyFont="1" applyFill="1" applyAlignment="1">
      <alignment wrapText="1"/>
    </xf>
    <xf numFmtId="0" fontId="34" fillId="8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18" fillId="0" borderId="7" xfId="0" applyNumberFormat="1" applyFont="1" applyBorder="1" applyAlignment="1">
      <alignment horizontal="center" vertical="center" wrapText="1" shrinkToFit="1"/>
    </xf>
    <xf numFmtId="0" fontId="18" fillId="0" borderId="13" xfId="0" applyNumberFormat="1" applyFont="1" applyBorder="1" applyAlignment="1">
      <alignment horizontal="center" vertical="center" wrapText="1" shrinkToFit="1"/>
    </xf>
    <xf numFmtId="0" fontId="18" fillId="0" borderId="8" xfId="0" applyNumberFormat="1" applyFont="1" applyBorder="1" applyAlignment="1">
      <alignment horizontal="center" vertical="center" wrapText="1" shrinkToFit="1"/>
    </xf>
    <xf numFmtId="0" fontId="15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8" fillId="8" borderId="2" xfId="0" applyFont="1" applyFill="1" applyBorder="1" applyAlignment="1">
      <alignment horizontal="left" wrapText="1"/>
    </xf>
    <xf numFmtId="0" fontId="5" fillId="0" borderId="0" xfId="0" applyFont="1" applyBorder="1" applyAlignment="1">
      <alignment horizontal="center"/>
    </xf>
    <xf numFmtId="0" fontId="4" fillId="9" borderId="2" xfId="0" applyFont="1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5" fillId="9" borderId="7" xfId="0" applyFont="1" applyFill="1" applyBorder="1" applyAlignment="1">
      <alignment horizontal="center" vertical="center" wrapText="1" shrinkToFit="1"/>
    </xf>
    <xf numFmtId="0" fontId="25" fillId="9" borderId="8" xfId="0" applyFont="1" applyFill="1" applyBorder="1" applyAlignment="1">
      <alignment horizontal="center" vertical="center" wrapText="1" shrinkToFit="1"/>
    </xf>
    <xf numFmtId="0" fontId="18" fillId="0" borderId="1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left"/>
    </xf>
    <xf numFmtId="0" fontId="4" fillId="9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9" borderId="0" xfId="0" applyFont="1" applyFill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18" fillId="0" borderId="7" xfId="0" applyFont="1" applyBorder="1" applyAlignment="1">
      <alignment horizontal="center" vertical="center" wrapText="1" shrinkToFit="1"/>
    </xf>
    <xf numFmtId="0" fontId="18" fillId="0" borderId="13" xfId="0" applyFont="1" applyBorder="1" applyAlignment="1">
      <alignment horizontal="center" vertical="center" wrapText="1" shrinkToFit="1"/>
    </xf>
    <xf numFmtId="0" fontId="18" fillId="0" borderId="8" xfId="0" applyFont="1" applyBorder="1" applyAlignment="1">
      <alignment horizontal="center" vertical="center" wrapText="1" shrinkToFit="1"/>
    </xf>
    <xf numFmtId="0" fontId="4" fillId="9" borderId="2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5" fillId="0" borderId="0" xfId="0" applyFont="1" applyAlignment="1">
      <alignment horizontal="center"/>
    </xf>
    <xf numFmtId="0" fontId="6" fillId="7" borderId="1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7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7" fillId="0" borderId="1" xfId="0" applyFont="1" applyBorder="1" applyAlignment="1">
      <alignment horizontal="left" wrapText="1" shrinkToFit="1"/>
    </xf>
    <xf numFmtId="0" fontId="26" fillId="0" borderId="1" xfId="0" applyFont="1" applyBorder="1" applyAlignment="1">
      <alignment horizontal="center" vertical="center" wrapText="1" shrinkToFit="1"/>
    </xf>
    <xf numFmtId="0" fontId="26" fillId="0" borderId="3" xfId="0" applyFont="1" applyBorder="1" applyAlignment="1">
      <alignment horizontal="center" vertical="center" wrapText="1" shrinkToFit="1"/>
    </xf>
    <xf numFmtId="0" fontId="26" fillId="0" borderId="4" xfId="0" applyFont="1" applyBorder="1" applyAlignment="1">
      <alignment horizontal="center" vertical="center" wrapText="1" shrinkToFit="1"/>
    </xf>
    <xf numFmtId="0" fontId="26" fillId="9" borderId="11" xfId="0" applyFont="1" applyFill="1" applyBorder="1" applyAlignment="1">
      <alignment horizontal="center" vertical="center" shrinkToFit="1"/>
    </xf>
    <xf numFmtId="0" fontId="0" fillId="9" borderId="14" xfId="0" applyFill="1" applyBorder="1" applyAlignment="1">
      <alignment horizontal="center" vertical="center" shrinkToFit="1"/>
    </xf>
    <xf numFmtId="0" fontId="0" fillId="9" borderId="9" xfId="0" applyFill="1" applyBorder="1" applyAlignment="1">
      <alignment horizontal="center" vertical="center" shrinkToFit="1"/>
    </xf>
    <xf numFmtId="0" fontId="26" fillId="0" borderId="0" xfId="0" applyFont="1" applyFill="1" applyBorder="1" applyAlignment="1">
      <alignment horizontal="center"/>
    </xf>
    <xf numFmtId="0" fontId="0" fillId="0" borderId="0" xfId="0" applyBorder="1" applyAlignment="1"/>
    <xf numFmtId="0" fontId="13" fillId="0" borderId="1" xfId="0" applyFont="1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 shrinkToFit="1"/>
    </xf>
    <xf numFmtId="0" fontId="0" fillId="0" borderId="4" xfId="0" applyBorder="1" applyAlignment="1">
      <alignment horizontal="left" vertical="center" wrapText="1" shrinkToFit="1"/>
    </xf>
    <xf numFmtId="0" fontId="25" fillId="9" borderId="6" xfId="0" applyFont="1" applyFill="1" applyBorder="1" applyAlignment="1">
      <alignment horizontal="center" vertical="center" shrinkToFit="1"/>
    </xf>
    <xf numFmtId="0" fontId="0" fillId="9" borderId="0" xfId="0" applyFill="1" applyBorder="1" applyAlignment="1">
      <alignment horizontal="center" vertical="center" shrinkToFit="1"/>
    </xf>
    <xf numFmtId="0" fontId="0" fillId="9" borderId="5" xfId="0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13" fillId="0" borderId="1" xfId="0" applyFont="1" applyBorder="1" applyAlignment="1">
      <alignment horizontal="left" shrinkToFit="1"/>
    </xf>
    <xf numFmtId="0" fontId="0" fillId="0" borderId="3" xfId="0" applyBorder="1" applyAlignment="1">
      <alignment horizontal="left" shrinkToFit="1"/>
    </xf>
    <xf numFmtId="0" fontId="0" fillId="0" borderId="4" xfId="0" applyBorder="1" applyAlignment="1">
      <alignment horizontal="left" shrinkToFit="1"/>
    </xf>
    <xf numFmtId="0" fontId="13" fillId="0" borderId="1" xfId="0" applyFont="1" applyFill="1" applyBorder="1" applyAlignment="1">
      <alignment horizontal="left" shrinkToFit="1"/>
    </xf>
    <xf numFmtId="0" fontId="25" fillId="9" borderId="12" xfId="0" applyFont="1" applyFill="1" applyBorder="1" applyAlignment="1">
      <alignment horizontal="center" vertical="center" shrinkToFit="1"/>
    </xf>
    <xf numFmtId="0" fontId="25" fillId="9" borderId="15" xfId="0" applyFont="1" applyFill="1" applyBorder="1" applyAlignment="1">
      <alignment horizontal="center" vertical="center" shrinkToFit="1"/>
    </xf>
    <xf numFmtId="0" fontId="25" fillId="9" borderId="10" xfId="0" applyFont="1" applyFill="1" applyBorder="1" applyAlignment="1">
      <alignment horizontal="center" vertical="center" shrinkToFit="1"/>
    </xf>
    <xf numFmtId="0" fontId="26" fillId="9" borderId="11" xfId="0" applyFont="1" applyFill="1" applyBorder="1" applyAlignment="1">
      <alignment horizontal="center" vertical="center" wrapText="1" shrinkToFit="1"/>
    </xf>
    <xf numFmtId="0" fontId="0" fillId="9" borderId="14" xfId="0" applyFill="1" applyBorder="1" applyAlignment="1">
      <alignment horizontal="center" vertical="center" wrapText="1" shrinkToFit="1"/>
    </xf>
    <xf numFmtId="0" fontId="0" fillId="9" borderId="9" xfId="0" applyFill="1" applyBorder="1" applyAlignment="1">
      <alignment horizontal="center" vertical="center" wrapText="1" shrinkToFit="1"/>
    </xf>
    <xf numFmtId="0" fontId="25" fillId="9" borderId="6" xfId="0" applyFont="1" applyFill="1" applyBorder="1" applyAlignment="1">
      <alignment horizontal="center" vertical="center" wrapText="1" shrinkToFit="1"/>
    </xf>
    <xf numFmtId="0" fontId="0" fillId="9" borderId="0" xfId="0" applyFill="1" applyBorder="1" applyAlignment="1">
      <alignment horizontal="center" vertical="center" wrapText="1" shrinkToFit="1"/>
    </xf>
    <xf numFmtId="0" fontId="0" fillId="9" borderId="5" xfId="0" applyFill="1" applyBorder="1" applyAlignment="1">
      <alignment horizontal="center" vertical="center" wrapText="1" shrinkToFit="1"/>
    </xf>
    <xf numFmtId="0" fontId="25" fillId="9" borderId="12" xfId="0" applyFont="1" applyFill="1" applyBorder="1" applyAlignment="1">
      <alignment horizontal="center" vertical="center" wrapText="1" shrinkToFit="1"/>
    </xf>
    <xf numFmtId="0" fontId="25" fillId="9" borderId="15" xfId="0" applyFont="1" applyFill="1" applyBorder="1" applyAlignment="1">
      <alignment horizontal="center" vertical="center" wrapText="1" shrinkToFit="1"/>
    </xf>
    <xf numFmtId="0" fontId="25" fillId="9" borderId="10" xfId="0" applyFont="1" applyFill="1" applyBorder="1" applyAlignment="1">
      <alignment horizontal="center" vertical="center" wrapText="1" shrinkToFit="1"/>
    </xf>
    <xf numFmtId="0" fontId="15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82" fontId="6" fillId="0" borderId="2" xfId="0" applyNumberFormat="1" applyFont="1" applyBorder="1" applyAlignment="1">
      <alignment horizontal="center"/>
    </xf>
    <xf numFmtId="182" fontId="6" fillId="0" borderId="1" xfId="0" applyNumberFormat="1" applyFont="1" applyBorder="1" applyAlignment="1">
      <alignment horizontal="center"/>
    </xf>
    <xf numFmtId="0" fontId="28" fillId="0" borderId="2" xfId="0" applyFont="1" applyBorder="1" applyAlignment="1">
      <alignment horizontal="center" wrapText="1" shrinkToFit="1"/>
    </xf>
    <xf numFmtId="0" fontId="30" fillId="0" borderId="2" xfId="0" applyFont="1" applyBorder="1" applyAlignment="1">
      <alignment horizontal="center" wrapText="1" shrinkToFit="1"/>
    </xf>
    <xf numFmtId="0" fontId="25" fillId="0" borderId="0" xfId="0" applyFont="1" applyFill="1" applyBorder="1" applyAlignment="1"/>
    <xf numFmtId="0" fontId="0" fillId="0" borderId="0" xfId="0" applyFill="1" applyBorder="1" applyAlignment="1">
      <alignment horizontal="center" vertical="center" wrapText="1" shrinkToFit="1"/>
    </xf>
    <xf numFmtId="0" fontId="28" fillId="0" borderId="2" xfId="0" applyFont="1" applyFill="1" applyBorder="1" applyAlignment="1">
      <alignment horizontal="center" wrapText="1" shrinkToFit="1"/>
    </xf>
    <xf numFmtId="0" fontId="0" fillId="9" borderId="2" xfId="0" applyFill="1" applyBorder="1" applyAlignment="1">
      <alignment horizontal="center" vertical="center" wrapText="1" shrinkToFit="1"/>
    </xf>
    <xf numFmtId="0" fontId="0" fillId="9" borderId="7" xfId="0" applyFill="1" applyBorder="1" applyAlignment="1">
      <alignment horizontal="center" vertical="center" wrapText="1" shrinkToFit="1"/>
    </xf>
    <xf numFmtId="0" fontId="0" fillId="9" borderId="13" xfId="0" applyFill="1" applyBorder="1" applyAlignment="1">
      <alignment horizontal="center" vertical="center" wrapText="1" shrinkToFit="1"/>
    </xf>
    <xf numFmtId="0" fontId="0" fillId="9" borderId="8" xfId="0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.xml"/><Relationship Id="rId1" Type="http://schemas.openxmlformats.org/officeDocument/2006/relationships/themeOverride" Target="../theme/themeOverride1.xml"/></Relationships>
</file>

<file path=xl/charts/_rels/chart10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7.xml"/><Relationship Id="rId1" Type="http://schemas.openxmlformats.org/officeDocument/2006/relationships/themeOverride" Target="../theme/themeOverride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306102056253813E-3"/>
          <c:y val="1.3227547400864442E-2"/>
          <c:w val="0.98770623573343008"/>
          <c:h val="0.976192998183795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Sheet2!$C$1:$C$4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</c:numCache>
            </c:numRef>
          </c:xVal>
          <c:yVal>
            <c:numRef>
              <c:f>Sheet2!$D$1:$D$4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0.86602500000000004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A3-4132-A9ED-6797E1E9C664}"/>
            </c:ext>
          </c:extLst>
        </c:ser>
        <c:ser>
          <c:idx val="1"/>
          <c:order val="1"/>
          <c:tx>
            <c:strRef>
              <c:f>Sheet2!$F$1</c:f>
              <c:strCache>
                <c:ptCount val="1"/>
                <c:pt idx="0">
                  <c:v>Plot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Sheet2!$G$1</c:f>
              <c:numCache>
                <c:formatCode>General</c:formatCode>
                <c:ptCount val="1"/>
                <c:pt idx="0">
                  <c:v>0.75127551020408156</c:v>
                </c:pt>
              </c:numCache>
            </c:numRef>
          </c:xVal>
          <c:yVal>
            <c:numRef>
              <c:f>Sheet2!$H$1</c:f>
              <c:numCache>
                <c:formatCode>General</c:formatCode>
                <c:ptCount val="1"/>
                <c:pt idx="0">
                  <c:v>0.43080325255102048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A3-4132-A9ED-6797E1E9C664}"/>
            </c:ext>
          </c:extLst>
        </c:ser>
        <c:ser>
          <c:idx val="2"/>
          <c:order val="2"/>
          <c:tx>
            <c:strRef>
              <c:f>Sheet2!$A$6</c:f>
              <c:strCache>
                <c:ptCount val="1"/>
                <c:pt idx="0">
                  <c:v>Serie 0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plus"/>
            <c:size val="3"/>
            <c:spPr>
              <a:noFill/>
              <a:ln w="9525">
                <a:noFill/>
              </a:ln>
            </c:spPr>
          </c:marker>
          <c:xVal>
            <c:numRef>
              <c:f>Sheet2!$B$6:$B$7</c:f>
              <c:numCache>
                <c:formatCode>General</c:formatCode>
                <c:ptCount val="2"/>
                <c:pt idx="0">
                  <c:v>0.49</c:v>
                </c:pt>
                <c:pt idx="1">
                  <c:v>0.51</c:v>
                </c:pt>
              </c:numCache>
            </c:numRef>
          </c:xVal>
          <c:yVal>
            <c:numRef>
              <c:f>Sheet2!$C$6:$C$7</c:f>
              <c:numCache>
                <c:formatCode>General</c:formatCode>
                <c:ptCount val="2"/>
                <c:pt idx="0">
                  <c:v>0.84899999999999998</c:v>
                </c:pt>
                <c:pt idx="1">
                  <c:v>0.84899999999999998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A3-4132-A9ED-6797E1E9C664}"/>
            </c:ext>
          </c:extLst>
        </c:ser>
        <c:ser>
          <c:idx val="3"/>
          <c:order val="3"/>
          <c:tx>
            <c:strRef>
              <c:f>Sheet2!$A$9</c:f>
              <c:strCache>
                <c:ptCount val="1"/>
                <c:pt idx="0">
                  <c:v>Serie 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Sheet2!$B$9:$B$10</c:f>
              <c:numCache>
                <c:formatCode>General</c:formatCode>
                <c:ptCount val="2"/>
                <c:pt idx="0">
                  <c:v>0.23</c:v>
                </c:pt>
                <c:pt idx="1">
                  <c:v>0.55000000000000004</c:v>
                </c:pt>
              </c:numCache>
            </c:numRef>
          </c:xVal>
          <c:yVal>
            <c:numRef>
              <c:f>Sheet2!$C$9:$C$10</c:f>
              <c:numCache>
                <c:formatCode>General</c:formatCode>
                <c:ptCount val="2"/>
                <c:pt idx="0">
                  <c:v>0</c:v>
                </c:pt>
                <c:pt idx="1">
                  <c:v>0.55400000000000005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A3-4132-A9ED-6797E1E9C664}"/>
            </c:ext>
          </c:extLst>
        </c:ser>
        <c:ser>
          <c:idx val="4"/>
          <c:order val="4"/>
          <c:tx>
            <c:strRef>
              <c:f>Sheet2!$A$12</c:f>
              <c:strCache>
                <c:ptCount val="1"/>
                <c:pt idx="0">
                  <c:v>Serie 2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Sheet2!$B$12:$B$13</c:f>
              <c:numCache>
                <c:formatCode>General</c:formatCode>
                <c:ptCount val="2"/>
                <c:pt idx="0">
                  <c:v>0.53500000000000003</c:v>
                </c:pt>
                <c:pt idx="1">
                  <c:v>0.55300000000000005</c:v>
                </c:pt>
              </c:numCache>
            </c:numRef>
          </c:xVal>
          <c:yVal>
            <c:numRef>
              <c:f>Sheet2!$C$12:$C$13</c:f>
              <c:numCache>
                <c:formatCode>General</c:formatCode>
                <c:ptCount val="2"/>
                <c:pt idx="0">
                  <c:v>0.753</c:v>
                </c:pt>
                <c:pt idx="1">
                  <c:v>0.78500000000000003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A3-4132-A9ED-6797E1E9C664}"/>
            </c:ext>
          </c:extLst>
        </c:ser>
        <c:ser>
          <c:idx val="5"/>
          <c:order val="5"/>
          <c:tx>
            <c:strRef>
              <c:f>Sheet2!$A$15</c:f>
              <c:strCache>
                <c:ptCount val="1"/>
                <c:pt idx="0">
                  <c:v>Serie 3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Sheet2!$B$15:$B$16</c:f>
              <c:numCache>
                <c:formatCode>General</c:formatCode>
                <c:ptCount val="2"/>
                <c:pt idx="0">
                  <c:v>0.67</c:v>
                </c:pt>
                <c:pt idx="1">
                  <c:v>0.75</c:v>
                </c:pt>
              </c:numCache>
            </c:numRef>
          </c:xVal>
          <c:yVal>
            <c:numRef>
              <c:f>Sheet2!$C$15:$C$16</c:f>
              <c:numCache>
                <c:formatCode>General</c:formatCode>
                <c:ptCount val="2"/>
                <c:pt idx="0">
                  <c:v>0.29599999999999999</c:v>
                </c:pt>
                <c:pt idx="1">
                  <c:v>0.433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A3-4132-A9ED-6797E1E9C664}"/>
            </c:ext>
          </c:extLst>
        </c:ser>
        <c:ser>
          <c:idx val="6"/>
          <c:order val="6"/>
          <c:tx>
            <c:strRef>
              <c:f>Sheet2!$A$18</c:f>
              <c:strCache>
                <c:ptCount val="1"/>
                <c:pt idx="0">
                  <c:v>Serie 4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Sheet2!$B$18:$B$19</c:f>
              <c:numCache>
                <c:formatCode>General</c:formatCode>
                <c:ptCount val="2"/>
                <c:pt idx="0">
                  <c:v>0.56299999999999994</c:v>
                </c:pt>
                <c:pt idx="1">
                  <c:v>0.63</c:v>
                </c:pt>
              </c:numCache>
            </c:numRef>
          </c:xVal>
          <c:yVal>
            <c:numRef>
              <c:f>Sheet2!$C$18:$C$19</c:f>
              <c:numCache>
                <c:formatCode>General</c:formatCode>
                <c:ptCount val="2"/>
                <c:pt idx="0">
                  <c:v>0.28799999999999998</c:v>
                </c:pt>
                <c:pt idx="1">
                  <c:v>0.40699999999999997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EA3-4132-A9ED-6797E1E9C664}"/>
            </c:ext>
          </c:extLst>
        </c:ser>
        <c:ser>
          <c:idx val="7"/>
          <c:order val="7"/>
          <c:tx>
            <c:strRef>
              <c:f>Sheet2!$F$6</c:f>
              <c:strCache>
                <c:ptCount val="1"/>
                <c:pt idx="0">
                  <c:v>Serie 5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Sheet2!$G$6:$G$7</c:f>
              <c:numCache>
                <c:formatCode>General</c:formatCode>
                <c:ptCount val="2"/>
                <c:pt idx="0">
                  <c:v>0.73399999999999999</c:v>
                </c:pt>
                <c:pt idx="1">
                  <c:v>0.48499999999999999</c:v>
                </c:pt>
              </c:numCache>
            </c:numRef>
          </c:xVal>
          <c:yVal>
            <c:numRef>
              <c:f>Sheet2!$H$6:$H$7</c:f>
              <c:numCache>
                <c:formatCode>General</c:formatCode>
                <c:ptCount val="2"/>
                <c:pt idx="0">
                  <c:v>0.40300000000000002</c:v>
                </c:pt>
                <c:pt idx="1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EA3-4132-A9ED-6797E1E9C664}"/>
            </c:ext>
          </c:extLst>
        </c:ser>
        <c:ser>
          <c:idx val="8"/>
          <c:order val="8"/>
          <c:tx>
            <c:strRef>
              <c:f>Sheet2!$F$9</c:f>
              <c:strCache>
                <c:ptCount val="1"/>
                <c:pt idx="0">
                  <c:v>Serie 6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Sheet2!$G$9:$G$10</c:f>
              <c:numCache>
                <c:formatCode>General</c:formatCode>
                <c:ptCount val="2"/>
                <c:pt idx="0">
                  <c:v>0.85</c:v>
                </c:pt>
                <c:pt idx="1">
                  <c:v>0.67</c:v>
                </c:pt>
              </c:numCache>
            </c:numRef>
          </c:xVal>
          <c:yVal>
            <c:numRef>
              <c:f>Sheet2!$H$9:$H$10</c:f>
              <c:numCache>
                <c:formatCode>General</c:formatCode>
                <c:ptCount val="2"/>
                <c:pt idx="0">
                  <c:v>0</c:v>
                </c:pt>
                <c:pt idx="1">
                  <c:v>0.30299999999999999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EA3-4132-A9ED-6797E1E9C664}"/>
            </c:ext>
          </c:extLst>
        </c:ser>
        <c:ser>
          <c:idx val="9"/>
          <c:order val="9"/>
          <c:tx>
            <c:strRef>
              <c:f>Sheet2!$F$12</c:f>
              <c:strCache>
                <c:ptCount val="1"/>
                <c:pt idx="0">
                  <c:v>Serie 7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Sheet2!$G$12:$G$13</c:f>
              <c:numCache>
                <c:formatCode>General</c:formatCode>
                <c:ptCount val="2"/>
                <c:pt idx="0">
                  <c:v>0.72</c:v>
                </c:pt>
                <c:pt idx="1">
                  <c:v>0.56000000000000005</c:v>
                </c:pt>
              </c:numCache>
            </c:numRef>
          </c:xVal>
          <c:yVal>
            <c:numRef>
              <c:f>Sheet2!$H$12:$H$13</c:f>
              <c:numCache>
                <c:formatCode>General</c:formatCode>
                <c:ptCount val="2"/>
                <c:pt idx="0">
                  <c:v>0</c:v>
                </c:pt>
                <c:pt idx="1">
                  <c:v>0.28599999999999998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EA3-4132-A9ED-6797E1E9C664}"/>
            </c:ext>
          </c:extLst>
        </c:ser>
        <c:ser>
          <c:idx val="10"/>
          <c:order val="10"/>
          <c:tx>
            <c:strRef>
              <c:f>Sheet2!$F$15</c:f>
              <c:strCache>
                <c:ptCount val="1"/>
                <c:pt idx="0">
                  <c:v>Serie 8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Sheet2!$G$15:$G$16</c:f>
              <c:numCache>
                <c:formatCode>General</c:formatCode>
                <c:ptCount val="2"/>
                <c:pt idx="0">
                  <c:v>0.63</c:v>
                </c:pt>
                <c:pt idx="1">
                  <c:v>0.435</c:v>
                </c:pt>
              </c:numCache>
            </c:numRef>
          </c:xVal>
          <c:yVal>
            <c:numRef>
              <c:f>Sheet2!$H$15:$H$16</c:f>
              <c:numCache>
                <c:formatCode>General</c:formatCode>
                <c:ptCount val="2"/>
                <c:pt idx="0">
                  <c:v>0.40699999999999997</c:v>
                </c:pt>
                <c:pt idx="1">
                  <c:v>0.753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EA3-4132-A9ED-6797E1E9C664}"/>
            </c:ext>
          </c:extLst>
        </c:ser>
        <c:ser>
          <c:idx val="11"/>
          <c:order val="11"/>
          <c:tx>
            <c:strRef>
              <c:f>Sheet2!$M$2</c:f>
              <c:strCache>
                <c:ptCount val="1"/>
                <c:pt idx="0">
                  <c:v>Gridlines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ysDash"/>
            </a:ln>
          </c:spPr>
          <c:marker>
            <c:symbol val="dot"/>
            <c:size val="2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Sheet2!$Q$2:$Q$54</c:f>
              <c:numCache>
                <c:formatCode>General</c:formatCode>
                <c:ptCount val="53"/>
                <c:pt idx="0">
                  <c:v>0.05</c:v>
                </c:pt>
                <c:pt idx="1">
                  <c:v>0.95000000000000007</c:v>
                </c:pt>
                <c:pt idx="2">
                  <c:v>0.9</c:v>
                </c:pt>
                <c:pt idx="3">
                  <c:v>0.1</c:v>
                </c:pt>
                <c:pt idx="4">
                  <c:v>0.15</c:v>
                </c:pt>
                <c:pt idx="5">
                  <c:v>0.85</c:v>
                </c:pt>
                <c:pt idx="6">
                  <c:v>0.8</c:v>
                </c:pt>
                <c:pt idx="7">
                  <c:v>0.2</c:v>
                </c:pt>
                <c:pt idx="8">
                  <c:v>0.25</c:v>
                </c:pt>
                <c:pt idx="9">
                  <c:v>0.75</c:v>
                </c:pt>
                <c:pt idx="10">
                  <c:v>0.7</c:v>
                </c:pt>
                <c:pt idx="11">
                  <c:v>0.3</c:v>
                </c:pt>
                <c:pt idx="12">
                  <c:v>0.35</c:v>
                </c:pt>
                <c:pt idx="13">
                  <c:v>0.64999999999999991</c:v>
                </c:pt>
                <c:pt idx="14">
                  <c:v>0.60000000000000009</c:v>
                </c:pt>
                <c:pt idx="15">
                  <c:v>0.4</c:v>
                </c:pt>
                <c:pt idx="16">
                  <c:v>0.45</c:v>
                </c:pt>
                <c:pt idx="17">
                  <c:v>0.55000000000000004</c:v>
                </c:pt>
                <c:pt idx="18">
                  <c:v>0.1</c:v>
                </c:pt>
                <c:pt idx="19">
                  <c:v>0.2</c:v>
                </c:pt>
                <c:pt idx="20">
                  <c:v>0.60000000000000009</c:v>
                </c:pt>
                <c:pt idx="21">
                  <c:v>0.64999999999999991</c:v>
                </c:pt>
                <c:pt idx="22">
                  <c:v>0.3</c:v>
                </c:pt>
                <c:pt idx="23">
                  <c:v>0.4</c:v>
                </c:pt>
                <c:pt idx="24">
                  <c:v>0.7</c:v>
                </c:pt>
                <c:pt idx="25">
                  <c:v>0.75</c:v>
                </c:pt>
                <c:pt idx="26">
                  <c:v>0.5</c:v>
                </c:pt>
                <c:pt idx="27">
                  <c:v>0.6</c:v>
                </c:pt>
                <c:pt idx="28">
                  <c:v>0.8</c:v>
                </c:pt>
                <c:pt idx="29">
                  <c:v>0.85</c:v>
                </c:pt>
                <c:pt idx="30">
                  <c:v>0.7</c:v>
                </c:pt>
                <c:pt idx="31">
                  <c:v>0.8</c:v>
                </c:pt>
                <c:pt idx="32">
                  <c:v>0.9</c:v>
                </c:pt>
                <c:pt idx="33">
                  <c:v>0.95000000000000007</c:v>
                </c:pt>
                <c:pt idx="34">
                  <c:v>0.9</c:v>
                </c:pt>
                <c:pt idx="35">
                  <c:v>0.45</c:v>
                </c:pt>
                <c:pt idx="36">
                  <c:v>0.4</c:v>
                </c:pt>
                <c:pt idx="37">
                  <c:v>0.8</c:v>
                </c:pt>
                <c:pt idx="38">
                  <c:v>0.7</c:v>
                </c:pt>
                <c:pt idx="39">
                  <c:v>0.35</c:v>
                </c:pt>
                <c:pt idx="40">
                  <c:v>0.3</c:v>
                </c:pt>
                <c:pt idx="41">
                  <c:v>0.6</c:v>
                </c:pt>
                <c:pt idx="42">
                  <c:v>0.5</c:v>
                </c:pt>
                <c:pt idx="43">
                  <c:v>0.25</c:v>
                </c:pt>
                <c:pt idx="44">
                  <c:v>0.2</c:v>
                </c:pt>
                <c:pt idx="45">
                  <c:v>0.4</c:v>
                </c:pt>
                <c:pt idx="46">
                  <c:v>0.3</c:v>
                </c:pt>
                <c:pt idx="47">
                  <c:v>0.15</c:v>
                </c:pt>
                <c:pt idx="48">
                  <c:v>0.1</c:v>
                </c:pt>
                <c:pt idx="49">
                  <c:v>0.2</c:v>
                </c:pt>
                <c:pt idx="50">
                  <c:v>0.1</c:v>
                </c:pt>
                <c:pt idx="51">
                  <c:v>0.1</c:v>
                </c:pt>
                <c:pt idx="52">
                  <c:v>0.05</c:v>
                </c:pt>
              </c:numCache>
            </c:numRef>
          </c:xVal>
          <c:yVal>
            <c:numRef>
              <c:f>Sheet2!$R$2:$R$54</c:f>
              <c:numCache>
                <c:formatCode>General</c:formatCode>
                <c:ptCount val="53"/>
                <c:pt idx="0">
                  <c:v>8.6602500000000013E-2</c:v>
                </c:pt>
                <c:pt idx="1">
                  <c:v>8.6602500000000013E-2</c:v>
                </c:pt>
                <c:pt idx="2">
                  <c:v>0.17320500000000003</c:v>
                </c:pt>
                <c:pt idx="3">
                  <c:v>0.17320500000000003</c:v>
                </c:pt>
                <c:pt idx="4">
                  <c:v>0.25980750000000002</c:v>
                </c:pt>
                <c:pt idx="5">
                  <c:v>0.25980750000000002</c:v>
                </c:pt>
                <c:pt idx="6">
                  <c:v>0.34641000000000005</c:v>
                </c:pt>
                <c:pt idx="7">
                  <c:v>0.34641000000000005</c:v>
                </c:pt>
                <c:pt idx="8">
                  <c:v>0.43301250000000002</c:v>
                </c:pt>
                <c:pt idx="9">
                  <c:v>0.43301250000000002</c:v>
                </c:pt>
                <c:pt idx="10">
                  <c:v>0.51961500000000005</c:v>
                </c:pt>
                <c:pt idx="11">
                  <c:v>0.51961500000000005</c:v>
                </c:pt>
                <c:pt idx="12">
                  <c:v>0.60621749999999996</c:v>
                </c:pt>
                <c:pt idx="13">
                  <c:v>0.60621749999999996</c:v>
                </c:pt>
                <c:pt idx="14">
                  <c:v>0.6928200000000001</c:v>
                </c:pt>
                <c:pt idx="15">
                  <c:v>0.6928200000000001</c:v>
                </c:pt>
                <c:pt idx="16">
                  <c:v>0.77942250000000002</c:v>
                </c:pt>
                <c:pt idx="17">
                  <c:v>0.77942250000000002</c:v>
                </c:pt>
                <c:pt idx="18">
                  <c:v>0</c:v>
                </c:pt>
                <c:pt idx="19">
                  <c:v>0</c:v>
                </c:pt>
                <c:pt idx="20">
                  <c:v>0.6928200000000001</c:v>
                </c:pt>
                <c:pt idx="21">
                  <c:v>0.60621749999999996</c:v>
                </c:pt>
                <c:pt idx="22">
                  <c:v>0</c:v>
                </c:pt>
                <c:pt idx="23">
                  <c:v>0</c:v>
                </c:pt>
                <c:pt idx="24">
                  <c:v>0.51961500000000005</c:v>
                </c:pt>
                <c:pt idx="25">
                  <c:v>0.43301250000000002</c:v>
                </c:pt>
                <c:pt idx="26">
                  <c:v>0</c:v>
                </c:pt>
                <c:pt idx="27">
                  <c:v>0</c:v>
                </c:pt>
                <c:pt idx="28">
                  <c:v>0.34641000000000005</c:v>
                </c:pt>
                <c:pt idx="29">
                  <c:v>0.25980750000000002</c:v>
                </c:pt>
                <c:pt idx="30">
                  <c:v>0</c:v>
                </c:pt>
                <c:pt idx="31">
                  <c:v>0</c:v>
                </c:pt>
                <c:pt idx="32">
                  <c:v>0.17320500000000003</c:v>
                </c:pt>
                <c:pt idx="33">
                  <c:v>8.6602500000000013E-2</c:v>
                </c:pt>
                <c:pt idx="34">
                  <c:v>0</c:v>
                </c:pt>
                <c:pt idx="35">
                  <c:v>0.77942250000000002</c:v>
                </c:pt>
                <c:pt idx="36">
                  <c:v>0.6928200000000001</c:v>
                </c:pt>
                <c:pt idx="37">
                  <c:v>0</c:v>
                </c:pt>
                <c:pt idx="38">
                  <c:v>0</c:v>
                </c:pt>
                <c:pt idx="39">
                  <c:v>0.60621749999999996</c:v>
                </c:pt>
                <c:pt idx="40">
                  <c:v>0.51961500000000005</c:v>
                </c:pt>
                <c:pt idx="41">
                  <c:v>0</c:v>
                </c:pt>
                <c:pt idx="42">
                  <c:v>0</c:v>
                </c:pt>
                <c:pt idx="43">
                  <c:v>0.43301250000000002</c:v>
                </c:pt>
                <c:pt idx="44">
                  <c:v>0.34641000000000005</c:v>
                </c:pt>
                <c:pt idx="45">
                  <c:v>0</c:v>
                </c:pt>
                <c:pt idx="46">
                  <c:v>0</c:v>
                </c:pt>
                <c:pt idx="47">
                  <c:v>0.25980750000000002</c:v>
                </c:pt>
                <c:pt idx="48">
                  <c:v>0.17320500000000003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8.6602500000000013E-2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EA3-4132-A9ED-6797E1E9C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720111"/>
        <c:axId val="1"/>
      </c:scatterChart>
      <c:valAx>
        <c:axId val="638720111"/>
        <c:scaling>
          <c:orientation val="minMax"/>
          <c:max val="1.1000000000000001"/>
          <c:min val="-0.1"/>
        </c:scaling>
        <c:delete val="1"/>
        <c:axPos val="b"/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  <c:max val="1"/>
          <c:min val="-0.1"/>
        </c:scaling>
        <c:delete val="1"/>
        <c:axPos val="l"/>
        <c:numFmt formatCode="General" sourceLinked="1"/>
        <c:majorTickMark val="out"/>
        <c:minorTickMark val="none"/>
        <c:tickLblPos val="nextTo"/>
        <c:crossAx val="638720111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241740434397006E-3"/>
          <c:y val="4.2372939802011334E-3"/>
          <c:w val="0.98933706525442999"/>
          <c:h val="0.990114360040331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Sheet2!$A$47</c:f>
              <c:strCache>
                <c:ptCount val="1"/>
                <c:pt idx="0">
                  <c:v>Triangle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2"/>
            <c:spPr>
              <a:noFill/>
              <a:ln w="9525">
                <a:noFill/>
              </a:ln>
            </c:spPr>
          </c:marker>
          <c:xVal>
            <c:numRef>
              <c:f>Sheet2!$B$47:$B$50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</c:numCache>
            </c:numRef>
          </c:xVal>
          <c:yVal>
            <c:numRef>
              <c:f>Sheet2!$C$47:$C$50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0.86602500000000004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CF-4C16-B061-BEFC922CE243}"/>
            </c:ext>
          </c:extLst>
        </c:ser>
        <c:ser>
          <c:idx val="1"/>
          <c:order val="1"/>
          <c:tx>
            <c:strRef>
              <c:f>Sheet2!$A$23</c:f>
              <c:strCache>
                <c:ptCount val="1"/>
                <c:pt idx="0">
                  <c:v>Serie 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2"/>
            <c:spPr>
              <a:noFill/>
              <a:ln w="9525">
                <a:noFill/>
              </a:ln>
            </c:spPr>
          </c:marker>
          <c:xVal>
            <c:numRef>
              <c:f>Sheet2!$B$23:$B$24</c:f>
              <c:numCache>
                <c:formatCode>General</c:formatCode>
                <c:ptCount val="2"/>
                <c:pt idx="0">
                  <c:v>0.245</c:v>
                </c:pt>
                <c:pt idx="1">
                  <c:v>0.33</c:v>
                </c:pt>
              </c:numCache>
            </c:numRef>
          </c:xVal>
          <c:yVal>
            <c:numRef>
              <c:f>Sheet2!$C$23:$C$24</c:f>
              <c:numCache>
                <c:formatCode>General</c:formatCode>
                <c:ptCount val="2"/>
                <c:pt idx="0">
                  <c:v>0.217</c:v>
                </c:pt>
                <c:pt idx="1">
                  <c:v>0.46800000000000003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CF-4C16-B061-BEFC922CE243}"/>
            </c:ext>
          </c:extLst>
        </c:ser>
        <c:ser>
          <c:idx val="2"/>
          <c:order val="2"/>
          <c:tx>
            <c:strRef>
              <c:f>Sheet2!$A$26</c:f>
              <c:strCache>
                <c:ptCount val="1"/>
                <c:pt idx="0">
                  <c:v>Serie 2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2"/>
            <c:spPr>
              <a:noFill/>
              <a:ln w="9525">
                <a:noFill/>
              </a:ln>
            </c:spPr>
          </c:marker>
          <c:xVal>
            <c:numRef>
              <c:f>Sheet2!$B$26:$B$27</c:f>
              <c:numCache>
                <c:formatCode>General</c:formatCode>
                <c:ptCount val="2"/>
                <c:pt idx="0">
                  <c:v>0.33</c:v>
                </c:pt>
                <c:pt idx="1">
                  <c:v>0.53500000000000003</c:v>
                </c:pt>
              </c:numCache>
            </c:numRef>
          </c:xVal>
          <c:yVal>
            <c:numRef>
              <c:f>Sheet2!$C$26:$C$27</c:f>
              <c:numCache>
                <c:formatCode>General</c:formatCode>
                <c:ptCount val="2"/>
                <c:pt idx="0">
                  <c:v>0.46800000000000003</c:v>
                </c:pt>
                <c:pt idx="1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CF-4C16-B061-BEFC922CE243}"/>
            </c:ext>
          </c:extLst>
        </c:ser>
        <c:ser>
          <c:idx val="3"/>
          <c:order val="3"/>
          <c:tx>
            <c:strRef>
              <c:f>Sheet2!$A$29</c:f>
              <c:strCache>
                <c:ptCount val="1"/>
                <c:pt idx="0">
                  <c:v>Serie 3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x"/>
            <c:size val="2"/>
            <c:spPr>
              <a:noFill/>
              <a:ln w="9525">
                <a:noFill/>
              </a:ln>
            </c:spPr>
          </c:marker>
          <c:xVal>
            <c:numRef>
              <c:f>Sheet2!$B$29:$B$30</c:f>
              <c:numCache>
                <c:formatCode>General</c:formatCode>
                <c:ptCount val="2"/>
                <c:pt idx="0">
                  <c:v>0.245</c:v>
                </c:pt>
                <c:pt idx="1">
                  <c:v>0.66</c:v>
                </c:pt>
              </c:numCache>
            </c:numRef>
          </c:xVal>
          <c:yVal>
            <c:numRef>
              <c:f>Sheet2!$C$29:$C$30</c:f>
              <c:numCache>
                <c:formatCode>General</c:formatCode>
                <c:ptCount val="2"/>
                <c:pt idx="0">
                  <c:v>0.217</c:v>
                </c:pt>
                <c:pt idx="1">
                  <c:v>8.6999999999999994E-2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CF-4C16-B061-BEFC922CE243}"/>
            </c:ext>
          </c:extLst>
        </c:ser>
        <c:ser>
          <c:idx val="4"/>
          <c:order val="4"/>
          <c:tx>
            <c:strRef>
              <c:f>Sheet2!$A$32</c:f>
              <c:strCache>
                <c:ptCount val="1"/>
                <c:pt idx="0">
                  <c:v>Serie 4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tar"/>
            <c:size val="3"/>
            <c:spPr>
              <a:noFill/>
              <a:ln w="9525">
                <a:noFill/>
              </a:ln>
            </c:spPr>
          </c:marker>
          <c:xVal>
            <c:numRef>
              <c:f>Sheet2!$B$32:$B$33</c:f>
              <c:numCache>
                <c:formatCode>General</c:formatCode>
                <c:ptCount val="2"/>
                <c:pt idx="0">
                  <c:v>0.66</c:v>
                </c:pt>
                <c:pt idx="1">
                  <c:v>0.63</c:v>
                </c:pt>
              </c:numCache>
            </c:numRef>
          </c:xVal>
          <c:yVal>
            <c:numRef>
              <c:f>Sheet2!$C$32:$C$33</c:f>
              <c:numCache>
                <c:formatCode>General</c:formatCode>
                <c:ptCount val="2"/>
                <c:pt idx="0">
                  <c:v>8.6999999999999994E-2</c:v>
                </c:pt>
                <c:pt idx="1">
                  <c:v>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CF-4C16-B061-BEFC922CE243}"/>
            </c:ext>
          </c:extLst>
        </c:ser>
        <c:ser>
          <c:idx val="5"/>
          <c:order val="5"/>
          <c:tx>
            <c:strRef>
              <c:f>Sheet2!$A$35</c:f>
              <c:strCache>
                <c:ptCount val="1"/>
                <c:pt idx="0">
                  <c:v>Serie 5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2"/>
            <c:spPr>
              <a:noFill/>
              <a:ln w="9525">
                <a:noFill/>
              </a:ln>
            </c:spPr>
          </c:marker>
          <c:xVal>
            <c:numRef>
              <c:f>Sheet2!$B$35:$B$36</c:f>
              <c:numCache>
                <c:formatCode>General</c:formatCode>
                <c:ptCount val="2"/>
                <c:pt idx="0">
                  <c:v>0.63</c:v>
                </c:pt>
                <c:pt idx="1">
                  <c:v>0.52800000000000002</c:v>
                </c:pt>
              </c:numCache>
            </c:numRef>
          </c:xVal>
          <c:yVal>
            <c:numRef>
              <c:f>Sheet2!$C$35:$C$36</c:f>
              <c:numCache>
                <c:formatCode>General</c:formatCode>
                <c:ptCount val="2"/>
                <c:pt idx="0">
                  <c:v>0.52</c:v>
                </c:pt>
                <c:pt idx="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CF-4C16-B061-BEFC922CE243}"/>
            </c:ext>
          </c:extLst>
        </c:ser>
        <c:ser>
          <c:idx val="6"/>
          <c:order val="6"/>
          <c:tx>
            <c:strRef>
              <c:f>Sheet2!$A$38</c:f>
              <c:strCache>
                <c:ptCount val="1"/>
                <c:pt idx="0">
                  <c:v>Serie 6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plus"/>
            <c:size val="2"/>
            <c:spPr>
              <a:noFill/>
              <a:ln w="9525">
                <a:noFill/>
              </a:ln>
            </c:spPr>
          </c:marker>
          <c:xVal>
            <c:numRef>
              <c:f>Sheet2!$B$38:$B$39</c:f>
              <c:numCache>
                <c:formatCode>General</c:formatCode>
                <c:ptCount val="2"/>
                <c:pt idx="0">
                  <c:v>0.42</c:v>
                </c:pt>
                <c:pt idx="1">
                  <c:v>0.63</c:v>
                </c:pt>
              </c:numCache>
            </c:numRef>
          </c:xVal>
          <c:yVal>
            <c:numRef>
              <c:f>Sheet2!$C$38:$C$39</c:f>
              <c:numCache>
                <c:formatCode>General</c:formatCode>
                <c:ptCount val="2"/>
                <c:pt idx="0">
                  <c:v>0.16300000000000001</c:v>
                </c:pt>
                <c:pt idx="1">
                  <c:v>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CF-4C16-B061-BEFC922CE243}"/>
            </c:ext>
          </c:extLst>
        </c:ser>
        <c:ser>
          <c:idx val="7"/>
          <c:order val="7"/>
          <c:tx>
            <c:strRef>
              <c:f>Sheet2!$A$41</c:f>
              <c:strCache>
                <c:ptCount val="1"/>
                <c:pt idx="0">
                  <c:v>Serie 7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ot"/>
            <c:size val="2"/>
            <c:spPr>
              <a:noFill/>
              <a:ln w="9525">
                <a:noFill/>
              </a:ln>
            </c:spPr>
          </c:marker>
          <c:xVal>
            <c:numRef>
              <c:f>Sheet2!$B$41:$B$42</c:f>
              <c:numCache>
                <c:formatCode>General</c:formatCode>
                <c:ptCount val="2"/>
                <c:pt idx="0">
                  <c:v>0.495</c:v>
                </c:pt>
                <c:pt idx="1">
                  <c:v>0.52800000000000002</c:v>
                </c:pt>
              </c:numCache>
            </c:numRef>
          </c:xVal>
          <c:yVal>
            <c:numRef>
              <c:f>Sheet2!$C$41:$C$42</c:f>
              <c:numCache>
                <c:formatCode>General</c:formatCode>
                <c:ptCount val="2"/>
                <c:pt idx="0">
                  <c:v>0.85699999999999998</c:v>
                </c:pt>
                <c:pt idx="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CF-4C16-B061-BEFC922CE243}"/>
            </c:ext>
          </c:extLst>
        </c:ser>
        <c:ser>
          <c:idx val="8"/>
          <c:order val="8"/>
          <c:tx>
            <c:strRef>
              <c:f>Sheet2!$A$44</c:f>
              <c:strCache>
                <c:ptCount val="1"/>
                <c:pt idx="0">
                  <c:v>Serie 8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ash"/>
            <c:size val="2"/>
            <c:spPr>
              <a:noFill/>
              <a:ln w="9525">
                <a:noFill/>
              </a:ln>
            </c:spPr>
          </c:marker>
          <c:xVal>
            <c:numRef>
              <c:f>Sheet2!$B$44:$B$45</c:f>
              <c:numCache>
                <c:formatCode>General</c:formatCode>
                <c:ptCount val="2"/>
                <c:pt idx="0">
                  <c:v>0.63500000000000001</c:v>
                </c:pt>
                <c:pt idx="1">
                  <c:v>0.75</c:v>
                </c:pt>
              </c:numCache>
            </c:numRef>
          </c:xVal>
          <c:yVal>
            <c:numRef>
              <c:f>Sheet2!$C$44:$C$45</c:f>
              <c:numCache>
                <c:formatCode>General</c:formatCode>
                <c:ptCount val="2"/>
                <c:pt idx="0">
                  <c:v>0.45</c:v>
                </c:pt>
                <c:pt idx="1">
                  <c:v>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3CF-4C16-B061-BEFC922CE243}"/>
            </c:ext>
          </c:extLst>
        </c:ser>
        <c:ser>
          <c:idx val="10"/>
          <c:order val="9"/>
          <c:tx>
            <c:strRef>
              <c:f>Sheet2!$F$26</c:f>
              <c:strCache>
                <c:ptCount val="1"/>
                <c:pt idx="0">
                  <c:v>Serie 10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3"/>
            <c:spPr>
              <a:noFill/>
              <a:ln w="9525">
                <a:noFill/>
              </a:ln>
            </c:spPr>
          </c:marker>
          <c:xVal>
            <c:numRef>
              <c:f>Sheet2!$G$26:$G$27</c:f>
              <c:numCache>
                <c:formatCode>General</c:formatCode>
                <c:ptCount val="2"/>
                <c:pt idx="0">
                  <c:v>0.63500000000000001</c:v>
                </c:pt>
                <c:pt idx="1">
                  <c:v>0.71499999999999997</c:v>
                </c:pt>
              </c:numCache>
            </c:numRef>
          </c:xVal>
          <c:yVal>
            <c:numRef>
              <c:f>Sheet2!$H$26:$H$27</c:f>
              <c:numCache>
                <c:formatCode>General</c:formatCode>
                <c:ptCount val="2"/>
                <c:pt idx="0">
                  <c:v>0.45</c:v>
                </c:pt>
                <c:pt idx="1">
                  <c:v>0.19900000000000001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3CF-4C16-B061-BEFC922CE243}"/>
            </c:ext>
          </c:extLst>
        </c:ser>
        <c:ser>
          <c:idx val="11"/>
          <c:order val="10"/>
          <c:tx>
            <c:strRef>
              <c:f>Sheet2!$F$29</c:f>
              <c:strCache>
                <c:ptCount val="1"/>
                <c:pt idx="0">
                  <c:v>Serie 11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noFill/>
              <a:ln w="9525">
                <a:noFill/>
              </a:ln>
            </c:spPr>
          </c:marker>
          <c:xVal>
            <c:numRef>
              <c:f>Sheet2!$G$29:$G$30</c:f>
              <c:numCache>
                <c:formatCode>General</c:formatCode>
                <c:ptCount val="2"/>
                <c:pt idx="0">
                  <c:v>0.71499999999999997</c:v>
                </c:pt>
                <c:pt idx="1">
                  <c:v>0.9</c:v>
                </c:pt>
              </c:numCache>
            </c:numRef>
          </c:xVal>
          <c:yVal>
            <c:numRef>
              <c:f>Sheet2!$H$29:$H$30</c:f>
              <c:numCache>
                <c:formatCode>General</c:formatCode>
                <c:ptCount val="2"/>
                <c:pt idx="0">
                  <c:v>0.19900000000000001</c:v>
                </c:pt>
                <c:pt idx="1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3CF-4C16-B061-BEFC922CE243}"/>
            </c:ext>
          </c:extLst>
        </c:ser>
        <c:ser>
          <c:idx val="12"/>
          <c:order val="11"/>
          <c:tx>
            <c:strRef>
              <c:f>Sheet2!$F$32</c:f>
              <c:strCache>
                <c:ptCount val="1"/>
                <c:pt idx="0">
                  <c:v>Serie 12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x"/>
            <c:size val="5"/>
            <c:spPr>
              <a:noFill/>
              <a:ln w="9525">
                <a:noFill/>
              </a:ln>
            </c:spPr>
          </c:marker>
          <c:xVal>
            <c:numRef>
              <c:f>Sheet2!$G$32:$G$33</c:f>
              <c:numCache>
                <c:formatCode>General</c:formatCode>
                <c:ptCount val="2"/>
                <c:pt idx="0">
                  <c:v>0.84499999999999997</c:v>
                </c:pt>
                <c:pt idx="1">
                  <c:v>0.94</c:v>
                </c:pt>
              </c:numCache>
            </c:numRef>
          </c:xVal>
          <c:yVal>
            <c:numRef>
              <c:f>Sheet2!$H$32:$H$33</c:f>
              <c:numCache>
                <c:formatCode>General</c:formatCode>
                <c:ptCount val="2"/>
                <c:pt idx="0">
                  <c:v>0.18099999999999999</c:v>
                </c:pt>
                <c:pt idx="1">
                  <c:v>3.2000000000000001E-2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3CF-4C16-B061-BEFC922CE243}"/>
            </c:ext>
          </c:extLst>
        </c:ser>
        <c:ser>
          <c:idx val="13"/>
          <c:order val="12"/>
          <c:tx>
            <c:strRef>
              <c:f>Sheet2!$F$35</c:f>
              <c:strCache>
                <c:ptCount val="1"/>
                <c:pt idx="0">
                  <c:v>Serie 13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tar"/>
            <c:size val="5"/>
            <c:spPr>
              <a:noFill/>
              <a:ln w="9525">
                <a:noFill/>
              </a:ln>
            </c:spPr>
          </c:marker>
          <c:xVal>
            <c:numRef>
              <c:f>Sheet2!$G$35:$G$36</c:f>
              <c:numCache>
                <c:formatCode>General</c:formatCode>
                <c:ptCount val="2"/>
                <c:pt idx="0">
                  <c:v>0.95499999999999996</c:v>
                </c:pt>
                <c:pt idx="1">
                  <c:v>0.98</c:v>
                </c:pt>
              </c:numCache>
            </c:numRef>
          </c:xVal>
          <c:yVal>
            <c:numRef>
              <c:f>Sheet2!$H$35:$H$36</c:f>
              <c:numCache>
                <c:formatCode>General</c:formatCode>
                <c:ptCount val="2"/>
                <c:pt idx="0">
                  <c:v>3.2000000000000001E-2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3CF-4C16-B061-BEFC922CE243}"/>
            </c:ext>
          </c:extLst>
        </c:ser>
        <c:ser>
          <c:idx val="14"/>
          <c:order val="13"/>
          <c:tx>
            <c:strRef>
              <c:f>Sheet2!$F$39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noFill/>
              <a:ln w="9525">
                <a:noFill/>
              </a:ln>
            </c:spPr>
          </c:marker>
          <c:xVal>
            <c:numRef>
              <c:f>Sheet2!$G$38:$G$39</c:f>
              <c:numCache>
                <c:formatCode>General</c:formatCode>
                <c:ptCount val="2"/>
                <c:pt idx="0">
                  <c:v>0.94</c:v>
                </c:pt>
                <c:pt idx="1">
                  <c:v>0.98</c:v>
                </c:pt>
              </c:numCache>
            </c:numRef>
          </c:xVal>
          <c:yVal>
            <c:numRef>
              <c:f>Sheet2!$H$38:$H$39</c:f>
              <c:numCache>
                <c:formatCode>General</c:formatCode>
                <c:ptCount val="2"/>
                <c:pt idx="0">
                  <c:v>3.2000000000000001E-2</c:v>
                </c:pt>
                <c:pt idx="1">
                  <c:v>3.2000000000000001E-2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3CF-4C16-B061-BEFC922CE243}"/>
            </c:ext>
          </c:extLst>
        </c:ser>
        <c:ser>
          <c:idx val="15"/>
          <c:order val="14"/>
          <c:tx>
            <c:strRef>
              <c:f>Sheet2!$F$41</c:f>
              <c:strCache>
                <c:ptCount val="1"/>
                <c:pt idx="0">
                  <c:v>Serie 15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plus"/>
            <c:size val="3"/>
            <c:spPr>
              <a:noFill/>
              <a:ln w="9525">
                <a:noFill/>
              </a:ln>
            </c:spPr>
          </c:marker>
          <c:xVal>
            <c:numRef>
              <c:f>Sheet2!$G$41:$G$42</c:f>
              <c:numCache>
                <c:formatCode>General</c:formatCode>
                <c:ptCount val="2"/>
                <c:pt idx="0">
                  <c:v>0.245</c:v>
                </c:pt>
                <c:pt idx="1">
                  <c:v>0.245</c:v>
                </c:pt>
              </c:numCache>
            </c:numRef>
          </c:xVal>
          <c:yVal>
            <c:numRef>
              <c:f>Sheet2!$H$41:$H$42</c:f>
              <c:numCache>
                <c:formatCode>General</c:formatCode>
                <c:ptCount val="2"/>
                <c:pt idx="0">
                  <c:v>0</c:v>
                </c:pt>
                <c:pt idx="1">
                  <c:v>0.217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3CF-4C16-B061-BEFC922CE243}"/>
            </c:ext>
          </c:extLst>
        </c:ser>
        <c:ser>
          <c:idx val="16"/>
          <c:order val="15"/>
          <c:tx>
            <c:strRef>
              <c:f>Sheet2!$F$44</c:f>
              <c:strCache>
                <c:ptCount val="1"/>
                <c:pt idx="0">
                  <c:v>Serie 16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dot"/>
            <c:size val="5"/>
            <c:spPr>
              <a:noFill/>
              <a:ln w="9525">
                <a:noFill/>
              </a:ln>
            </c:spPr>
          </c:marker>
          <c:xVal>
            <c:numRef>
              <c:f>Sheet2!$G$44:$G$45</c:f>
              <c:numCache>
                <c:formatCode>General</c:formatCode>
                <c:ptCount val="2"/>
                <c:pt idx="0">
                  <c:v>0.66</c:v>
                </c:pt>
                <c:pt idx="1">
                  <c:v>0.66</c:v>
                </c:pt>
              </c:numCache>
            </c:numRef>
          </c:xVal>
          <c:yVal>
            <c:numRef>
              <c:f>Sheet2!$H$44:$H$45</c:f>
              <c:numCache>
                <c:formatCode>General</c:formatCode>
                <c:ptCount val="2"/>
                <c:pt idx="0">
                  <c:v>0</c:v>
                </c:pt>
                <c:pt idx="1">
                  <c:v>8.6999999999999994E-2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3CF-4C16-B061-BEFC922CE243}"/>
            </c:ext>
          </c:extLst>
        </c:ser>
        <c:ser>
          <c:idx val="9"/>
          <c:order val="16"/>
          <c:tx>
            <c:strRef>
              <c:f>Sheet2!$F$47</c:f>
              <c:strCache>
                <c:ptCount val="1"/>
                <c:pt idx="0">
                  <c:v>Plot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Sheet2!$G$47</c:f>
              <c:numCache>
                <c:formatCode>0.000</c:formatCode>
                <c:ptCount val="1"/>
                <c:pt idx="0">
                  <c:v>0.97440537745604971</c:v>
                </c:pt>
              </c:numCache>
            </c:numRef>
          </c:xVal>
          <c:yVal>
            <c:numRef>
              <c:f>Sheet2!$H$47</c:f>
              <c:numCache>
                <c:formatCode>0.000</c:formatCode>
                <c:ptCount val="1"/>
                <c:pt idx="0">
                  <c:v>4.4331165977249225E-2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3CF-4C16-B061-BEFC922CE243}"/>
            </c:ext>
          </c:extLst>
        </c:ser>
        <c:ser>
          <c:idx val="17"/>
          <c:order val="17"/>
          <c:tx>
            <c:strRef>
              <c:f>Sheet2!$M$2</c:f>
              <c:strCache>
                <c:ptCount val="1"/>
                <c:pt idx="0">
                  <c:v>Gridlines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ysDash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Sheet2!$Q$2:$Q$54</c:f>
              <c:numCache>
                <c:formatCode>General</c:formatCode>
                <c:ptCount val="53"/>
                <c:pt idx="0">
                  <c:v>0.05</c:v>
                </c:pt>
                <c:pt idx="1">
                  <c:v>0.95000000000000007</c:v>
                </c:pt>
                <c:pt idx="2">
                  <c:v>0.9</c:v>
                </c:pt>
                <c:pt idx="3">
                  <c:v>0.1</c:v>
                </c:pt>
                <c:pt idx="4">
                  <c:v>0.15</c:v>
                </c:pt>
                <c:pt idx="5">
                  <c:v>0.85</c:v>
                </c:pt>
                <c:pt idx="6">
                  <c:v>0.8</c:v>
                </c:pt>
                <c:pt idx="7">
                  <c:v>0.2</c:v>
                </c:pt>
                <c:pt idx="8">
                  <c:v>0.25</c:v>
                </c:pt>
                <c:pt idx="9">
                  <c:v>0.75</c:v>
                </c:pt>
                <c:pt idx="10">
                  <c:v>0.7</c:v>
                </c:pt>
                <c:pt idx="11">
                  <c:v>0.3</c:v>
                </c:pt>
                <c:pt idx="12">
                  <c:v>0.35</c:v>
                </c:pt>
                <c:pt idx="13">
                  <c:v>0.64999999999999991</c:v>
                </c:pt>
                <c:pt idx="14">
                  <c:v>0.60000000000000009</c:v>
                </c:pt>
                <c:pt idx="15">
                  <c:v>0.4</c:v>
                </c:pt>
                <c:pt idx="16">
                  <c:v>0.45</c:v>
                </c:pt>
                <c:pt idx="17">
                  <c:v>0.55000000000000004</c:v>
                </c:pt>
                <c:pt idx="18">
                  <c:v>0.1</c:v>
                </c:pt>
                <c:pt idx="19">
                  <c:v>0.2</c:v>
                </c:pt>
                <c:pt idx="20">
                  <c:v>0.60000000000000009</c:v>
                </c:pt>
                <c:pt idx="21">
                  <c:v>0.64999999999999991</c:v>
                </c:pt>
                <c:pt idx="22">
                  <c:v>0.3</c:v>
                </c:pt>
                <c:pt idx="23">
                  <c:v>0.4</c:v>
                </c:pt>
                <c:pt idx="24">
                  <c:v>0.7</c:v>
                </c:pt>
                <c:pt idx="25">
                  <c:v>0.75</c:v>
                </c:pt>
                <c:pt idx="26">
                  <c:v>0.5</c:v>
                </c:pt>
                <c:pt idx="27">
                  <c:v>0.6</c:v>
                </c:pt>
                <c:pt idx="28">
                  <c:v>0.8</c:v>
                </c:pt>
                <c:pt idx="29">
                  <c:v>0.85</c:v>
                </c:pt>
                <c:pt idx="30">
                  <c:v>0.7</c:v>
                </c:pt>
                <c:pt idx="31">
                  <c:v>0.8</c:v>
                </c:pt>
                <c:pt idx="32">
                  <c:v>0.9</c:v>
                </c:pt>
                <c:pt idx="33">
                  <c:v>0.95000000000000007</c:v>
                </c:pt>
                <c:pt idx="34">
                  <c:v>0.9</c:v>
                </c:pt>
                <c:pt idx="35">
                  <c:v>0.45</c:v>
                </c:pt>
                <c:pt idx="36">
                  <c:v>0.4</c:v>
                </c:pt>
                <c:pt idx="37">
                  <c:v>0.8</c:v>
                </c:pt>
                <c:pt idx="38">
                  <c:v>0.7</c:v>
                </c:pt>
                <c:pt idx="39">
                  <c:v>0.35</c:v>
                </c:pt>
                <c:pt idx="40">
                  <c:v>0.3</c:v>
                </c:pt>
                <c:pt idx="41">
                  <c:v>0.6</c:v>
                </c:pt>
                <c:pt idx="42">
                  <c:v>0.5</c:v>
                </c:pt>
                <c:pt idx="43">
                  <c:v>0.25</c:v>
                </c:pt>
                <c:pt idx="44">
                  <c:v>0.2</c:v>
                </c:pt>
                <c:pt idx="45">
                  <c:v>0.4</c:v>
                </c:pt>
                <c:pt idx="46">
                  <c:v>0.3</c:v>
                </c:pt>
                <c:pt idx="47">
                  <c:v>0.15</c:v>
                </c:pt>
                <c:pt idx="48">
                  <c:v>0.1</c:v>
                </c:pt>
                <c:pt idx="49">
                  <c:v>0.2</c:v>
                </c:pt>
                <c:pt idx="50">
                  <c:v>0.1</c:v>
                </c:pt>
                <c:pt idx="51">
                  <c:v>0.1</c:v>
                </c:pt>
                <c:pt idx="52">
                  <c:v>0.05</c:v>
                </c:pt>
              </c:numCache>
            </c:numRef>
          </c:xVal>
          <c:yVal>
            <c:numRef>
              <c:f>Sheet2!$R$2:$R$54</c:f>
              <c:numCache>
                <c:formatCode>General</c:formatCode>
                <c:ptCount val="53"/>
                <c:pt idx="0">
                  <c:v>8.6602500000000013E-2</c:v>
                </c:pt>
                <c:pt idx="1">
                  <c:v>8.6602500000000013E-2</c:v>
                </c:pt>
                <c:pt idx="2">
                  <c:v>0.17320500000000003</c:v>
                </c:pt>
                <c:pt idx="3">
                  <c:v>0.17320500000000003</c:v>
                </c:pt>
                <c:pt idx="4">
                  <c:v>0.25980750000000002</c:v>
                </c:pt>
                <c:pt idx="5">
                  <c:v>0.25980750000000002</c:v>
                </c:pt>
                <c:pt idx="6">
                  <c:v>0.34641000000000005</c:v>
                </c:pt>
                <c:pt idx="7">
                  <c:v>0.34641000000000005</c:v>
                </c:pt>
                <c:pt idx="8">
                  <c:v>0.43301250000000002</c:v>
                </c:pt>
                <c:pt idx="9">
                  <c:v>0.43301250000000002</c:v>
                </c:pt>
                <c:pt idx="10">
                  <c:v>0.51961500000000005</c:v>
                </c:pt>
                <c:pt idx="11">
                  <c:v>0.51961500000000005</c:v>
                </c:pt>
                <c:pt idx="12">
                  <c:v>0.60621749999999996</c:v>
                </c:pt>
                <c:pt idx="13">
                  <c:v>0.60621749999999996</c:v>
                </c:pt>
                <c:pt idx="14">
                  <c:v>0.6928200000000001</c:v>
                </c:pt>
                <c:pt idx="15">
                  <c:v>0.6928200000000001</c:v>
                </c:pt>
                <c:pt idx="16">
                  <c:v>0.77942250000000002</c:v>
                </c:pt>
                <c:pt idx="17">
                  <c:v>0.77942250000000002</c:v>
                </c:pt>
                <c:pt idx="18">
                  <c:v>0</c:v>
                </c:pt>
                <c:pt idx="19">
                  <c:v>0</c:v>
                </c:pt>
                <c:pt idx="20">
                  <c:v>0.6928200000000001</c:v>
                </c:pt>
                <c:pt idx="21">
                  <c:v>0.60621749999999996</c:v>
                </c:pt>
                <c:pt idx="22">
                  <c:v>0</c:v>
                </c:pt>
                <c:pt idx="23">
                  <c:v>0</c:v>
                </c:pt>
                <c:pt idx="24">
                  <c:v>0.51961500000000005</c:v>
                </c:pt>
                <c:pt idx="25">
                  <c:v>0.43301250000000002</c:v>
                </c:pt>
                <c:pt idx="26">
                  <c:v>0</c:v>
                </c:pt>
                <c:pt idx="27">
                  <c:v>0</c:v>
                </c:pt>
                <c:pt idx="28">
                  <c:v>0.34641000000000005</c:v>
                </c:pt>
                <c:pt idx="29">
                  <c:v>0.25980750000000002</c:v>
                </c:pt>
                <c:pt idx="30">
                  <c:v>0</c:v>
                </c:pt>
                <c:pt idx="31">
                  <c:v>0</c:v>
                </c:pt>
                <c:pt idx="32">
                  <c:v>0.17320500000000003</c:v>
                </c:pt>
                <c:pt idx="33">
                  <c:v>8.6602500000000013E-2</c:v>
                </c:pt>
                <c:pt idx="34">
                  <c:v>0</c:v>
                </c:pt>
                <c:pt idx="35">
                  <c:v>0.77942250000000002</c:v>
                </c:pt>
                <c:pt idx="36">
                  <c:v>0.6928200000000001</c:v>
                </c:pt>
                <c:pt idx="37">
                  <c:v>0</c:v>
                </c:pt>
                <c:pt idx="38">
                  <c:v>0</c:v>
                </c:pt>
                <c:pt idx="39">
                  <c:v>0.60621749999999996</c:v>
                </c:pt>
                <c:pt idx="40">
                  <c:v>0.51961500000000005</c:v>
                </c:pt>
                <c:pt idx="41">
                  <c:v>0</c:v>
                </c:pt>
                <c:pt idx="42">
                  <c:v>0</c:v>
                </c:pt>
                <c:pt idx="43">
                  <c:v>0.43301250000000002</c:v>
                </c:pt>
                <c:pt idx="44">
                  <c:v>0.34641000000000005</c:v>
                </c:pt>
                <c:pt idx="45">
                  <c:v>0</c:v>
                </c:pt>
                <c:pt idx="46">
                  <c:v>0</c:v>
                </c:pt>
                <c:pt idx="47">
                  <c:v>0.25980750000000002</c:v>
                </c:pt>
                <c:pt idx="48">
                  <c:v>0.17320500000000003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8.6602500000000013E-2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3CF-4C16-B061-BEFC922CE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722607"/>
        <c:axId val="1"/>
      </c:scatterChart>
      <c:valAx>
        <c:axId val="638722607"/>
        <c:scaling>
          <c:orientation val="minMax"/>
          <c:max val="1.1000000000000001"/>
          <c:min val="-0.1"/>
        </c:scaling>
        <c:delete val="1"/>
        <c:axPos val="b"/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  <c:max val="0.95"/>
          <c:min val="-0.1"/>
        </c:scaling>
        <c:delete val="1"/>
        <c:axPos val="l"/>
        <c:numFmt formatCode="General" sourceLinked="1"/>
        <c:majorTickMark val="out"/>
        <c:minorTickMark val="none"/>
        <c:tickLblPos val="nextTo"/>
        <c:crossAx val="63872260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 orientation="landscape" verticalDpi="30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64669455380577"/>
          <c:y val="0.10205013364155169"/>
          <c:w val="0.841796875"/>
          <c:h val="0.7833363673577499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Sheet2!$A$57</c:f>
              <c:strCache>
                <c:ptCount val="1"/>
                <c:pt idx="0">
                  <c:v>Serie 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Sheet2!$B$57:$B$58</c:f>
              <c:numCache>
                <c:formatCode>0.00000</c:formatCode>
                <c:ptCount val="2"/>
                <c:pt idx="0">
                  <c:v>1.0000000000000001E-5</c:v>
                </c:pt>
                <c:pt idx="1">
                  <c:v>0.1</c:v>
                </c:pt>
              </c:numCache>
            </c:numRef>
          </c:xVal>
          <c:yVal>
            <c:numRef>
              <c:f>Sheet2!$C$57:$C$58</c:f>
              <c:numCache>
                <c:formatCode>0.00000</c:formatCode>
                <c:ptCount val="2"/>
                <c:pt idx="0">
                  <c:v>0.01</c:v>
                </c:pt>
                <c:pt idx="1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A-4019-A98E-903A5FD10E08}"/>
            </c:ext>
          </c:extLst>
        </c:ser>
        <c:ser>
          <c:idx val="1"/>
          <c:order val="1"/>
          <c:tx>
            <c:strRef>
              <c:f>Sheet2!$A$59</c:f>
              <c:strCache>
                <c:ptCount val="1"/>
                <c:pt idx="0">
                  <c:v>Serie 2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Sheet2!$B$59:$B$60</c:f>
              <c:numCache>
                <c:formatCode>0.00000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xVal>
          <c:yVal>
            <c:numRef>
              <c:f>Sheet2!$C$59:$C$60</c:f>
              <c:numCache>
                <c:formatCode>0.00000</c:formatCode>
                <c:ptCount val="2"/>
                <c:pt idx="0">
                  <c:v>1.0000000000000001E-5</c:v>
                </c:pt>
                <c:pt idx="1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6A-4019-A98E-903A5FD10E08}"/>
            </c:ext>
          </c:extLst>
        </c:ser>
        <c:ser>
          <c:idx val="2"/>
          <c:order val="2"/>
          <c:tx>
            <c:strRef>
              <c:f>Sheet2!$A$61</c:f>
              <c:strCache>
                <c:ptCount val="1"/>
                <c:pt idx="0">
                  <c:v>Serie 3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Sheet2!$B$61:$B$62</c:f>
              <c:numCache>
                <c:formatCode>0.00000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xVal>
          <c:yVal>
            <c:numRef>
              <c:f>Sheet2!$C$61:$C$62</c:f>
              <c:numCache>
                <c:formatCode>0.00000</c:formatCode>
                <c:ptCount val="2"/>
                <c:pt idx="0">
                  <c:v>0.6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6A-4019-A98E-903A5FD10E08}"/>
            </c:ext>
          </c:extLst>
        </c:ser>
        <c:ser>
          <c:idx val="3"/>
          <c:order val="3"/>
          <c:tx>
            <c:strRef>
              <c:f>Sheet2!$A$63</c:f>
              <c:strCache>
                <c:ptCount val="1"/>
                <c:pt idx="0">
                  <c:v>Serie 4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Sheet2!$B$63:$B$64</c:f>
              <c:numCache>
                <c:formatCode>0.00000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Sheet2!$C$63:$C$64</c:f>
              <c:numCache>
                <c:formatCode>0.00000</c:formatCode>
                <c:ptCount val="2"/>
                <c:pt idx="0">
                  <c:v>1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6A-4019-A98E-903A5FD10E08}"/>
            </c:ext>
          </c:extLst>
        </c:ser>
        <c:ser>
          <c:idx val="4"/>
          <c:order val="4"/>
          <c:tx>
            <c:strRef>
              <c:f>Sheet2!$A$65</c:f>
              <c:strCache>
                <c:ptCount val="1"/>
                <c:pt idx="0">
                  <c:v>Serie 5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Sheet2!$B$65:$B$66</c:f>
              <c:numCache>
                <c:formatCode>0.00000</c:formatCode>
                <c:ptCount val="2"/>
                <c:pt idx="0">
                  <c:v>0.1</c:v>
                </c:pt>
                <c:pt idx="1">
                  <c:v>1</c:v>
                </c:pt>
              </c:numCache>
            </c:numRef>
          </c:xVal>
          <c:yVal>
            <c:numRef>
              <c:f>Sheet2!$C$65:$C$66</c:f>
              <c:numCache>
                <c:formatCode>0.00000</c:formatCode>
                <c:ptCount val="2"/>
                <c:pt idx="0">
                  <c:v>0.6</c:v>
                </c:pt>
                <c:pt idx="1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6A-4019-A98E-903A5FD10E08}"/>
            </c:ext>
          </c:extLst>
        </c:ser>
        <c:ser>
          <c:idx val="5"/>
          <c:order val="5"/>
          <c:tx>
            <c:strRef>
              <c:f>Sheet2!$A$67</c:f>
              <c:strCache>
                <c:ptCount val="1"/>
                <c:pt idx="0">
                  <c:v>Serie 6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Sheet2!$B$67:$B$68</c:f>
              <c:numCache>
                <c:formatCode>0.00000</c:formatCode>
                <c:ptCount val="2"/>
                <c:pt idx="0">
                  <c:v>0.1</c:v>
                </c:pt>
                <c:pt idx="1">
                  <c:v>0.5</c:v>
                </c:pt>
              </c:numCache>
            </c:numRef>
          </c:xVal>
          <c:yVal>
            <c:numRef>
              <c:f>Sheet2!$C$67:$C$68</c:f>
              <c:numCache>
                <c:formatCode>0.00000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6A-4019-A98E-903A5FD10E08}"/>
            </c:ext>
          </c:extLst>
        </c:ser>
        <c:ser>
          <c:idx val="6"/>
          <c:order val="6"/>
          <c:tx>
            <c:strRef>
              <c:f>Sheet2!$A$69</c:f>
              <c:strCache>
                <c:ptCount val="1"/>
                <c:pt idx="0">
                  <c:v>Serie 7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Sheet2!$B$69:$B$70</c:f>
              <c:numCache>
                <c:formatCode>0.00000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Sheet2!$C$69:$C$70</c:f>
              <c:numCache>
                <c:formatCode>0.00000</c:formatCode>
                <c:ptCount val="2"/>
                <c:pt idx="0">
                  <c:v>1.0000000000000001E-5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6A-4019-A98E-903A5FD10E08}"/>
            </c:ext>
          </c:extLst>
        </c:ser>
        <c:ser>
          <c:idx val="7"/>
          <c:order val="7"/>
          <c:tx>
            <c:strRef>
              <c:f>Sheet2!$A$71</c:f>
              <c:strCache>
                <c:ptCount val="1"/>
                <c:pt idx="0">
                  <c:v>Serie 8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Sheet2!$B$71:$B$72</c:f>
              <c:numCache>
                <c:formatCode>0.00000</c:formatCode>
                <c:ptCount val="2"/>
                <c:pt idx="0">
                  <c:v>1</c:v>
                </c:pt>
                <c:pt idx="1">
                  <c:v>100</c:v>
                </c:pt>
              </c:numCache>
            </c:numRef>
          </c:xVal>
          <c:yVal>
            <c:numRef>
              <c:f>Sheet2!$C$71:$C$72</c:f>
              <c:numCache>
                <c:formatCode>0.00000</c:formatCode>
                <c:ptCount val="2"/>
                <c:pt idx="0">
                  <c:v>0.01</c:v>
                </c:pt>
                <c:pt idx="1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6A-4019-A98E-903A5FD10E08}"/>
            </c:ext>
          </c:extLst>
        </c:ser>
        <c:ser>
          <c:idx val="8"/>
          <c:order val="8"/>
          <c:tx>
            <c:strRef>
              <c:f>Sheet2!$A$73</c:f>
              <c:strCache>
                <c:ptCount val="1"/>
                <c:pt idx="0">
                  <c:v>Serie 9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Sheet2!$B$73:$B$74</c:f>
              <c:numCache>
                <c:formatCode>0.00000</c:formatCode>
                <c:ptCount val="2"/>
                <c:pt idx="0">
                  <c:v>1</c:v>
                </c:pt>
                <c:pt idx="1">
                  <c:v>100</c:v>
                </c:pt>
              </c:numCache>
            </c:numRef>
          </c:xVal>
          <c:yVal>
            <c:numRef>
              <c:f>Sheet2!$C$73:$C$74</c:f>
              <c:numCache>
                <c:formatCode>0.00000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86A-4019-A98E-903A5FD10E08}"/>
            </c:ext>
          </c:extLst>
        </c:ser>
        <c:ser>
          <c:idx val="9"/>
          <c:order val="9"/>
          <c:tx>
            <c:strRef>
              <c:f>Sheet2!$A$75</c:f>
              <c:strCache>
                <c:ptCount val="1"/>
                <c:pt idx="0">
                  <c:v>Serie 10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Sheet2!$B$75:$B$76</c:f>
              <c:numCache>
                <c:formatCode>0.00000</c:formatCode>
                <c:ptCount val="2"/>
                <c:pt idx="0">
                  <c:v>1</c:v>
                </c:pt>
                <c:pt idx="1">
                  <c:v>100</c:v>
                </c:pt>
              </c:numCache>
            </c:numRef>
          </c:xVal>
          <c:yVal>
            <c:numRef>
              <c:f>Sheet2!$C$75:$C$76</c:f>
              <c:numCache>
                <c:formatCode>0.00000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86A-4019-A98E-903A5FD10E08}"/>
            </c:ext>
          </c:extLst>
        </c:ser>
        <c:ser>
          <c:idx val="10"/>
          <c:order val="10"/>
          <c:tx>
            <c:strRef>
              <c:f>Sheet2!$A$77</c:f>
              <c:strCache>
                <c:ptCount val="1"/>
                <c:pt idx="0">
                  <c:v>Serie 11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Sheet2!$B$77:$B$78</c:f>
              <c:numCache>
                <c:formatCode>0.00000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xVal>
          <c:yVal>
            <c:numRef>
              <c:f>Sheet2!$C$77:$C$78</c:f>
              <c:numCache>
                <c:formatCode>0.00000</c:formatCode>
                <c:ptCount val="2"/>
                <c:pt idx="0">
                  <c:v>1E-3</c:v>
                </c:pt>
                <c:pt idx="1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86A-4019-A98E-903A5FD10E08}"/>
            </c:ext>
          </c:extLst>
        </c:ser>
        <c:ser>
          <c:idx val="11"/>
          <c:order val="11"/>
          <c:tx>
            <c:strRef>
              <c:f>Sheet2!$A$79</c:f>
              <c:strCache>
                <c:ptCount val="1"/>
                <c:pt idx="0">
                  <c:v>Serie 12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Sheet2!$B$79:$B$80</c:f>
              <c:numCache>
                <c:formatCode>0.00000</c:formatCode>
                <c:ptCount val="2"/>
                <c:pt idx="0">
                  <c:v>1</c:v>
                </c:pt>
                <c:pt idx="1">
                  <c:v>100</c:v>
                </c:pt>
              </c:numCache>
            </c:numRef>
          </c:xVal>
          <c:yVal>
            <c:numRef>
              <c:f>Sheet2!$C$79:$C$80</c:f>
              <c:numCache>
                <c:formatCode>0.00000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86A-4019-A98E-903A5FD10E08}"/>
            </c:ext>
          </c:extLst>
        </c:ser>
        <c:ser>
          <c:idx val="12"/>
          <c:order val="12"/>
          <c:tx>
            <c:strRef>
              <c:f>Sheet2!$A$81</c:f>
              <c:strCache>
                <c:ptCount val="1"/>
                <c:pt idx="0">
                  <c:v>Serie 13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Sheet2!$B$81:$B$82</c:f>
              <c:numCache>
                <c:formatCode>0.00000</c:formatCode>
                <c:ptCount val="2"/>
                <c:pt idx="0">
                  <c:v>1</c:v>
                </c:pt>
                <c:pt idx="1">
                  <c:v>100</c:v>
                </c:pt>
              </c:numCache>
            </c:numRef>
          </c:xVal>
          <c:yVal>
            <c:numRef>
              <c:f>Sheet2!$C$81:$C$82</c:f>
              <c:numCache>
                <c:formatCode>0.00000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86A-4019-A98E-903A5FD10E08}"/>
            </c:ext>
          </c:extLst>
        </c:ser>
        <c:ser>
          <c:idx val="13"/>
          <c:order val="13"/>
          <c:tx>
            <c:strRef>
              <c:f>Sheet2!$A$83</c:f>
              <c:strCache>
                <c:ptCount val="1"/>
                <c:pt idx="0">
                  <c:v>Serie 14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Sheet2!$B$83:$B$84</c:f>
              <c:numCache>
                <c:formatCode>0.00000</c:formatCode>
                <c:ptCount val="2"/>
                <c:pt idx="0">
                  <c:v>0.1</c:v>
                </c:pt>
                <c:pt idx="1">
                  <c:v>1</c:v>
                </c:pt>
              </c:numCache>
            </c:numRef>
          </c:xVal>
          <c:yVal>
            <c:numRef>
              <c:f>Sheet2!$C$83:$C$84</c:f>
              <c:numCache>
                <c:formatCode>0.00000</c:formatCode>
                <c:ptCount val="2"/>
                <c:pt idx="0">
                  <c:v>2.5</c:v>
                </c:pt>
                <c:pt idx="1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86A-4019-A98E-903A5FD10E08}"/>
            </c:ext>
          </c:extLst>
        </c:ser>
        <c:ser>
          <c:idx val="14"/>
          <c:order val="14"/>
          <c:tx>
            <c:strRef>
              <c:f>Sheet2!$A$85</c:f>
              <c:strCache>
                <c:ptCount val="1"/>
                <c:pt idx="0">
                  <c:v>Serie 15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Sheet2!$B$85:$B$86</c:f>
              <c:numCache>
                <c:formatCode>0.00000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Sheet2!$C$85:$C$86</c:f>
              <c:numCache>
                <c:formatCode>0.00000</c:formatCode>
                <c:ptCount val="2"/>
                <c:pt idx="0">
                  <c:v>0.6</c:v>
                </c:pt>
                <c:pt idx="1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86A-4019-A98E-903A5FD10E08}"/>
            </c:ext>
          </c:extLst>
        </c:ser>
        <c:ser>
          <c:idx val="15"/>
          <c:order val="15"/>
          <c:tx>
            <c:strRef>
              <c:f>Sheet2!$A$87</c:f>
              <c:strCache>
                <c:ptCount val="1"/>
                <c:pt idx="0">
                  <c:v>Serie 16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Sheet2!$B$87:$B$88</c:f>
              <c:numCache>
                <c:formatCode>0.00000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Sheet2!$C$87:$C$88</c:f>
              <c:numCache>
                <c:formatCode>0.00000</c:formatCode>
                <c:ptCount val="2"/>
                <c:pt idx="0">
                  <c:v>10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86A-4019-A98E-903A5FD10E08}"/>
            </c:ext>
          </c:extLst>
        </c:ser>
        <c:ser>
          <c:idx val="16"/>
          <c:order val="16"/>
          <c:tx>
            <c:strRef>
              <c:f>Sheet2!$A$89</c:f>
              <c:strCache>
                <c:ptCount val="1"/>
                <c:pt idx="0">
                  <c:v>Serie 17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Sheet2!$B$89:$B$90</c:f>
              <c:numCache>
                <c:formatCode>0.00000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Sheet2!$C$89:$C$90</c:f>
              <c:numCache>
                <c:formatCode>0.00000</c:formatCode>
                <c:ptCount val="2"/>
                <c:pt idx="0">
                  <c:v>1E-3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86A-4019-A98E-903A5FD10E08}"/>
            </c:ext>
          </c:extLst>
        </c:ser>
        <c:ser>
          <c:idx val="17"/>
          <c:order val="17"/>
          <c:tx>
            <c:strRef>
              <c:f>Sheet2!$A$55</c:f>
              <c:strCache>
                <c:ptCount val="1"/>
                <c:pt idx="0">
                  <c:v>Plot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Sheet2!$B$55</c:f>
              <c:numCache>
                <c:formatCode>0.000</c:formatCode>
                <c:ptCount val="1"/>
                <c:pt idx="0">
                  <c:v>7.8787878787878789</c:v>
                </c:pt>
              </c:numCache>
            </c:numRef>
          </c:xVal>
          <c:yVal>
            <c:numRef>
              <c:f>Sheet2!$C$55</c:f>
              <c:numCache>
                <c:formatCode>0.000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86A-4019-A98E-903A5FD10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723439"/>
        <c:axId val="1"/>
      </c:scatterChart>
      <c:valAx>
        <c:axId val="638723439"/>
        <c:scaling>
          <c:logBase val="10"/>
          <c:orientation val="minMax"/>
          <c:max val="100"/>
          <c:min val="1.0000000000000001E-5"/>
        </c:scaling>
        <c:delete val="0"/>
        <c:axPos val="b"/>
        <c:numFmt formatCode="0.00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1.0000000000000001E-5"/>
        <c:crossBetween val="midCat"/>
        <c:majorUnit val="10"/>
        <c:minorUnit val="10"/>
      </c:valAx>
      <c:valAx>
        <c:axId val="1"/>
        <c:scaling>
          <c:logBase val="10"/>
          <c:orientation val="minMax"/>
          <c:max val="100"/>
          <c:min val="1.0000000000000001E-5"/>
        </c:scaling>
        <c:delete val="0"/>
        <c:axPos val="l"/>
        <c:numFmt formatCode="0.00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8723439"/>
        <c:crossesAt val="1.0000000000000001E-5"/>
        <c:crossBetween val="midCat"/>
        <c:majorUnit val="10"/>
        <c:minorUnit val="10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ysClr val="windowText" lastClr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60189844690467"/>
          <c:y val="9.9447707158152182E-2"/>
          <c:w val="0.76633414244272091"/>
          <c:h val="0.775323677996370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Sheet2!$F$57</c:f>
              <c:strCache>
                <c:ptCount val="1"/>
                <c:pt idx="0">
                  <c:v>Serie 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Sheet2!$G$57:$G$58</c:f>
              <c:numCache>
                <c:formatCode>0.00000</c:formatCode>
                <c:ptCount val="2"/>
                <c:pt idx="0">
                  <c:v>1.0000000000000001E-5</c:v>
                </c:pt>
                <c:pt idx="1">
                  <c:v>1000</c:v>
                </c:pt>
              </c:numCache>
            </c:numRef>
          </c:xVal>
          <c:yVal>
            <c:numRef>
              <c:f>Sheet2!$H$57:$H$58</c:f>
              <c:numCache>
                <c:formatCode>0.00000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B3-4FF3-AEC3-38321CADCCD0}"/>
            </c:ext>
          </c:extLst>
        </c:ser>
        <c:ser>
          <c:idx val="1"/>
          <c:order val="1"/>
          <c:tx>
            <c:strRef>
              <c:f>Sheet2!$F$59</c:f>
              <c:strCache>
                <c:ptCount val="1"/>
                <c:pt idx="0">
                  <c:v>Serie 2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Sheet2!$G$59:$G$60</c:f>
              <c:numCache>
                <c:formatCode>0.00000</c:formatCode>
                <c:ptCount val="2"/>
                <c:pt idx="0">
                  <c:v>1.0000000000000001E-5</c:v>
                </c:pt>
                <c:pt idx="1">
                  <c:v>1</c:v>
                </c:pt>
              </c:numCache>
            </c:numRef>
          </c:xVal>
          <c:yVal>
            <c:numRef>
              <c:f>Sheet2!$H$59:$H$60</c:f>
              <c:numCache>
                <c:formatCode>0.00000</c:formatCode>
                <c:ptCount val="2"/>
                <c:pt idx="0">
                  <c:v>0.01</c:v>
                </c:pt>
                <c:pt idx="1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B3-4FF3-AEC3-38321CADCCD0}"/>
            </c:ext>
          </c:extLst>
        </c:ser>
        <c:ser>
          <c:idx val="2"/>
          <c:order val="2"/>
          <c:tx>
            <c:strRef>
              <c:f>Sheet2!$F$61</c:f>
              <c:strCache>
                <c:ptCount val="1"/>
                <c:pt idx="0">
                  <c:v>Serie 3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Sheet2!$G$61:$G$62</c:f>
              <c:numCache>
                <c:formatCode>0.00000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xVal>
          <c:yVal>
            <c:numRef>
              <c:f>Sheet2!$H$61:$H$62</c:f>
              <c:numCache>
                <c:formatCode>0.00000</c:formatCode>
                <c:ptCount val="2"/>
                <c:pt idx="0">
                  <c:v>1.0000000000000001E-5</c:v>
                </c:pt>
                <c:pt idx="1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B3-4FF3-AEC3-38321CADCCD0}"/>
            </c:ext>
          </c:extLst>
        </c:ser>
        <c:ser>
          <c:idx val="3"/>
          <c:order val="3"/>
          <c:tx>
            <c:strRef>
              <c:f>Sheet2!$F$63</c:f>
              <c:strCache>
                <c:ptCount val="1"/>
                <c:pt idx="0">
                  <c:v>Serie 4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Sheet2!$G$63:$G$64</c:f>
              <c:numCache>
                <c:formatCode>0.00000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Sheet2!$H$63:$H$64</c:f>
              <c:numCache>
                <c:formatCode>0.00000</c:formatCode>
                <c:ptCount val="2"/>
                <c:pt idx="0">
                  <c:v>1.0000000000000001E-5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B3-4FF3-AEC3-38321CADCCD0}"/>
            </c:ext>
          </c:extLst>
        </c:ser>
        <c:ser>
          <c:idx val="4"/>
          <c:order val="4"/>
          <c:tx>
            <c:strRef>
              <c:f>Sheet2!$F$65</c:f>
              <c:strCache>
                <c:ptCount val="1"/>
                <c:pt idx="0">
                  <c:v>Serie 5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Sheet2!$G$65:$G$66</c:f>
              <c:numCache>
                <c:formatCode>0.00000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Sheet2!$H$65:$H$66</c:f>
              <c:numCache>
                <c:formatCode>0.00000</c:formatCode>
                <c:ptCount val="2"/>
                <c:pt idx="0">
                  <c:v>1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B3-4FF3-AEC3-38321CADCCD0}"/>
            </c:ext>
          </c:extLst>
        </c:ser>
        <c:ser>
          <c:idx val="5"/>
          <c:order val="5"/>
          <c:tx>
            <c:strRef>
              <c:f>Sheet2!$F$67</c:f>
              <c:strCache>
                <c:ptCount val="1"/>
                <c:pt idx="0">
                  <c:v>Serie 6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Sheet2!$G$67:$G$68</c:f>
              <c:numCache>
                <c:formatCode>0.00000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Sheet2!$H$67:$H$68</c:f>
              <c:numCache>
                <c:formatCode>0.00000</c:formatCode>
                <c:ptCount val="2"/>
                <c:pt idx="0">
                  <c:v>0.6</c:v>
                </c:pt>
                <c:pt idx="1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B3-4FF3-AEC3-38321CADCCD0}"/>
            </c:ext>
          </c:extLst>
        </c:ser>
        <c:ser>
          <c:idx val="6"/>
          <c:order val="6"/>
          <c:tx>
            <c:strRef>
              <c:f>Sheet2!$F$69</c:f>
              <c:strCache>
                <c:ptCount val="1"/>
                <c:pt idx="0">
                  <c:v>Serie 7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Sheet2!$G$69:$G$70</c:f>
              <c:numCache>
                <c:formatCode>0.00000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xVal>
          <c:yVal>
            <c:numRef>
              <c:f>Sheet2!$H$69:$H$70</c:f>
              <c:numCache>
                <c:formatCode>0.00000</c:formatCode>
                <c:ptCount val="2"/>
                <c:pt idx="0">
                  <c:v>1.0000000000000001E-5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DB3-4FF3-AEC3-38321CADCCD0}"/>
            </c:ext>
          </c:extLst>
        </c:ser>
        <c:ser>
          <c:idx val="7"/>
          <c:order val="7"/>
          <c:tx>
            <c:strRef>
              <c:f>Sheet2!$F$71</c:f>
              <c:strCache>
                <c:ptCount val="1"/>
                <c:pt idx="0">
                  <c:v>Serie 8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Sheet2!$G$71:$G$72</c:f>
              <c:numCache>
                <c:formatCode>0.00000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xVal>
          <c:yVal>
            <c:numRef>
              <c:f>Sheet2!$H$71:$H$72</c:f>
              <c:numCache>
                <c:formatCode>0.00000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B3-4FF3-AEC3-38321CADCCD0}"/>
            </c:ext>
          </c:extLst>
        </c:ser>
        <c:ser>
          <c:idx val="8"/>
          <c:order val="8"/>
          <c:tx>
            <c:strRef>
              <c:f>Sheet2!$F$73</c:f>
              <c:strCache>
                <c:ptCount val="1"/>
                <c:pt idx="0">
                  <c:v>Serie 9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Sheet2!$G$73:$G$74</c:f>
              <c:numCache>
                <c:formatCode>0.00000</c:formatCode>
                <c:ptCount val="2"/>
                <c:pt idx="0">
                  <c:v>4</c:v>
                </c:pt>
                <c:pt idx="1">
                  <c:v>1000</c:v>
                </c:pt>
              </c:numCache>
            </c:numRef>
          </c:xVal>
          <c:yVal>
            <c:numRef>
              <c:f>Sheet2!$H$73:$H$74</c:f>
              <c:numCache>
                <c:formatCode>0.00000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DB3-4FF3-AEC3-38321CADCCD0}"/>
            </c:ext>
          </c:extLst>
        </c:ser>
        <c:ser>
          <c:idx val="9"/>
          <c:order val="9"/>
          <c:tx>
            <c:strRef>
              <c:f>Sheet2!$F$75</c:f>
              <c:strCache>
                <c:ptCount val="1"/>
                <c:pt idx="0">
                  <c:v>Serie 10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Sheet2!$G$75:$G$76</c:f>
              <c:numCache>
                <c:formatCode>0.00000</c:formatCode>
                <c:ptCount val="2"/>
                <c:pt idx="0">
                  <c:v>2</c:v>
                </c:pt>
                <c:pt idx="1">
                  <c:v>1000</c:v>
                </c:pt>
              </c:numCache>
            </c:numRef>
          </c:xVal>
          <c:yVal>
            <c:numRef>
              <c:f>Sheet2!$H$75:$H$76</c:f>
              <c:numCache>
                <c:formatCode>0.00000</c:formatCode>
                <c:ptCount val="2"/>
                <c:pt idx="0">
                  <c:v>0.6</c:v>
                </c:pt>
                <c:pt idx="1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DB3-4FF3-AEC3-38321CADCCD0}"/>
            </c:ext>
          </c:extLst>
        </c:ser>
        <c:ser>
          <c:idx val="10"/>
          <c:order val="10"/>
          <c:tx>
            <c:strRef>
              <c:f>Sheet2!$F$77</c:f>
              <c:strCache>
                <c:ptCount val="1"/>
                <c:pt idx="0">
                  <c:v>Serie 11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Sheet2!$G$77:$G$78</c:f>
              <c:numCache>
                <c:formatCode>0.00000</c:formatCode>
                <c:ptCount val="2"/>
                <c:pt idx="0">
                  <c:v>1</c:v>
                </c:pt>
                <c:pt idx="1">
                  <c:v>1000</c:v>
                </c:pt>
              </c:numCache>
            </c:numRef>
          </c:xVal>
          <c:yVal>
            <c:numRef>
              <c:f>Sheet2!$H$77:$H$78</c:f>
              <c:numCache>
                <c:formatCode>0.00000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DB3-4FF3-AEC3-38321CADCCD0}"/>
            </c:ext>
          </c:extLst>
        </c:ser>
        <c:ser>
          <c:idx val="11"/>
          <c:order val="11"/>
          <c:tx>
            <c:strRef>
              <c:f>Sheet2!$F$79</c:f>
              <c:strCache>
                <c:ptCount val="1"/>
                <c:pt idx="0">
                  <c:v>Serie 12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Sheet2!$G$79:$G$80</c:f>
              <c:numCache>
                <c:formatCode>0.00000</c:formatCode>
                <c:ptCount val="2"/>
                <c:pt idx="0">
                  <c:v>2</c:v>
                </c:pt>
                <c:pt idx="1">
                  <c:v>1000</c:v>
                </c:pt>
              </c:numCache>
            </c:numRef>
          </c:xVal>
          <c:yVal>
            <c:numRef>
              <c:f>Sheet2!$H$79:$H$80</c:f>
              <c:numCache>
                <c:formatCode>0.00000</c:formatCode>
                <c:ptCount val="2"/>
                <c:pt idx="0">
                  <c:v>2.5</c:v>
                </c:pt>
                <c:pt idx="1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DB3-4FF3-AEC3-38321CADCCD0}"/>
            </c:ext>
          </c:extLst>
        </c:ser>
        <c:ser>
          <c:idx val="12"/>
          <c:order val="12"/>
          <c:tx>
            <c:strRef>
              <c:f>Sheet2!$F$81</c:f>
              <c:strCache>
                <c:ptCount val="1"/>
                <c:pt idx="0">
                  <c:v>Serie 13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Sheet2!$G$81:$G$82</c:f>
              <c:numCache>
                <c:formatCode>0.00000</c:formatCode>
                <c:ptCount val="2"/>
                <c:pt idx="0">
                  <c:v>1000</c:v>
                </c:pt>
                <c:pt idx="1">
                  <c:v>1000</c:v>
                </c:pt>
              </c:numCache>
            </c:numRef>
          </c:xVal>
          <c:yVal>
            <c:numRef>
              <c:f>Sheet2!$H$81:$H$82</c:f>
              <c:numCache>
                <c:formatCode>0.00000</c:formatCode>
                <c:ptCount val="2"/>
                <c:pt idx="0">
                  <c:v>1E-3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DB3-4FF3-AEC3-38321CADCCD0}"/>
            </c:ext>
          </c:extLst>
        </c:ser>
        <c:ser>
          <c:idx val="13"/>
          <c:order val="13"/>
          <c:tx>
            <c:strRef>
              <c:f>Sheet2!$F$83</c:f>
              <c:strCache>
                <c:ptCount val="1"/>
                <c:pt idx="0">
                  <c:v>Serie 14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Sheet2!$G$83:$G$84</c:f>
              <c:numCache>
                <c:formatCode>0.00000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xVal>
          <c:yVal>
            <c:numRef>
              <c:f>Sheet2!$H$83:$H$84</c:f>
              <c:numCache>
                <c:formatCode>0.00000</c:formatCode>
                <c:ptCount val="2"/>
                <c:pt idx="0">
                  <c:v>1.0000000000000001E-5</c:v>
                </c:pt>
                <c:pt idx="1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B3-4FF3-AEC3-38321CADCCD0}"/>
            </c:ext>
          </c:extLst>
        </c:ser>
        <c:ser>
          <c:idx val="14"/>
          <c:order val="14"/>
          <c:tx>
            <c:strRef>
              <c:f>Sheet2!$F$55</c:f>
              <c:strCache>
                <c:ptCount val="1"/>
                <c:pt idx="0">
                  <c:v>Plot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Sheet2!$G$55</c:f>
              <c:numCache>
                <c:formatCode>0.000</c:formatCode>
                <c:ptCount val="1"/>
                <c:pt idx="0">
                  <c:v>2.9513108614232211</c:v>
                </c:pt>
              </c:numCache>
            </c:numRef>
          </c:xVal>
          <c:yVal>
            <c:numRef>
              <c:f>Sheet2!$H$55</c:f>
              <c:numCache>
                <c:formatCode>0.000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B3-4FF3-AEC3-38321CADC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745903"/>
        <c:axId val="1"/>
      </c:scatterChart>
      <c:valAx>
        <c:axId val="638745903"/>
        <c:scaling>
          <c:logBase val="10"/>
          <c:orientation val="minMax"/>
          <c:max val="1000"/>
          <c:min val="1.0000000000000001E-5"/>
        </c:scaling>
        <c:delete val="0"/>
        <c:axPos val="b"/>
        <c:numFmt formatCode="0.00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1.0000000000000001E-5"/>
        <c:crossBetween val="midCat"/>
        <c:majorUnit val="100"/>
        <c:minorUnit val="10"/>
      </c:valAx>
      <c:valAx>
        <c:axId val="1"/>
        <c:scaling>
          <c:logBase val="10"/>
          <c:orientation val="minMax"/>
          <c:max val="100"/>
          <c:min val="1.0000000000000001E-5"/>
        </c:scaling>
        <c:delete val="0"/>
        <c:axPos val="l"/>
        <c:numFmt formatCode="0.00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8745903"/>
        <c:crossesAt val="1.0000000000000001E-5"/>
        <c:crossBetween val="midCat"/>
        <c:majorUnit val="10"/>
        <c:minorUnit val="10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4664371772805511E-2"/>
          <c:y val="3.733343055580874E-2"/>
          <c:w val="0.61962134251290879"/>
          <c:h val="0.837335513894567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Sheet2!$B$94</c:f>
              <c:strCache>
                <c:ptCount val="1"/>
                <c:pt idx="0">
                  <c:v>Mẫu TN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Sheet2!$A$95:$A$100</c:f>
              <c:strCache>
                <c:ptCount val="6"/>
                <c:pt idx="0">
                  <c:v>CO</c:v>
                </c:pt>
                <c:pt idx="1">
                  <c:v>H2</c:v>
                </c:pt>
                <c:pt idx="2">
                  <c:v>CH4</c:v>
                </c:pt>
                <c:pt idx="3">
                  <c:v>C2H6</c:v>
                </c:pt>
                <c:pt idx="4">
                  <c:v>C2H4</c:v>
                </c:pt>
                <c:pt idx="5">
                  <c:v>C2H2</c:v>
                </c:pt>
              </c:strCache>
            </c:strRef>
          </c:cat>
          <c:val>
            <c:numRef>
              <c:f>Sheet2!$B$95:$B$100</c:f>
              <c:numCache>
                <c:formatCode>0.0</c:formatCode>
                <c:ptCount val="6"/>
                <c:pt idx="0">
                  <c:v>9.1165413533834592</c:v>
                </c:pt>
                <c:pt idx="1">
                  <c:v>4.6522556390977448</c:v>
                </c:pt>
                <c:pt idx="2">
                  <c:v>36.654135338345867</c:v>
                </c:pt>
                <c:pt idx="3">
                  <c:v>12.546992481203008</c:v>
                </c:pt>
                <c:pt idx="4">
                  <c:v>37.030075187969928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A-4E3D-814E-A5D427E327F5}"/>
            </c:ext>
          </c:extLst>
        </c:ser>
        <c:ser>
          <c:idx val="1"/>
          <c:order val="1"/>
          <c:tx>
            <c:strRef>
              <c:f>Sheet2!$C$94</c:f>
              <c:strCache>
                <c:ptCount val="1"/>
                <c:pt idx="0">
                  <c:v>Chuan4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Sheet2!$A$95:$A$100</c:f>
              <c:strCache>
                <c:ptCount val="6"/>
                <c:pt idx="0">
                  <c:v>CO</c:v>
                </c:pt>
                <c:pt idx="1">
                  <c:v>H2</c:v>
                </c:pt>
                <c:pt idx="2">
                  <c:v>CH4</c:v>
                </c:pt>
                <c:pt idx="3">
                  <c:v>C2H6</c:v>
                </c:pt>
                <c:pt idx="4">
                  <c:v>C2H4</c:v>
                </c:pt>
                <c:pt idx="5">
                  <c:v>C2H2</c:v>
                </c:pt>
              </c:strCache>
            </c:strRef>
          </c:cat>
          <c:val>
            <c:numRef>
              <c:f>Sheet2!$C$95:$C$100</c:f>
              <c:numCache>
                <c:formatCode>0</c:formatCode>
                <c:ptCount val="6"/>
                <c:pt idx="0">
                  <c:v>0</c:v>
                </c:pt>
                <c:pt idx="1">
                  <c:v>60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A-4E3D-814E-A5D427E32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38744239"/>
        <c:axId val="1"/>
        <c:axId val="2"/>
      </c:bar3DChart>
      <c:catAx>
        <c:axId val="6387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8744239"/>
        <c:crosses val="autoZero"/>
        <c:crossBetween val="between"/>
      </c:valAx>
      <c:serAx>
        <c:axId val="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tickLblSkip val="1"/>
        <c:tickMarkSkip val="1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4165232358003439"/>
          <c:y val="0.43733445319335085"/>
          <c:w val="0.98623063683304646"/>
          <c:h val="0.568001399825021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728407213305961E-2"/>
          <c:y val="5.555566320154235E-2"/>
          <c:w val="0.72196003955624188"/>
          <c:h val="0.845239732994894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Sheet2!$K$105</c:f>
              <c:strCache>
                <c:ptCount val="1"/>
                <c:pt idx="0">
                  <c:v>Mẫu TN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strRef>
              <c:f>Sheet2!$I$106:$J$110</c:f>
              <c:strCache>
                <c:ptCount val="5"/>
                <c:pt idx="0">
                  <c:v>H2</c:v>
                </c:pt>
                <c:pt idx="1">
                  <c:v>CH4</c:v>
                </c:pt>
                <c:pt idx="2">
                  <c:v>C2H6</c:v>
                </c:pt>
                <c:pt idx="3">
                  <c:v>C2H4</c:v>
                </c:pt>
                <c:pt idx="4">
                  <c:v>C2H2</c:v>
                </c:pt>
              </c:strCache>
            </c:strRef>
          </c:xVal>
          <c:yVal>
            <c:numRef>
              <c:f>Sheet2!$K$106:$K$110</c:f>
              <c:numCache>
                <c:formatCode>General</c:formatCode>
                <c:ptCount val="5"/>
                <c:pt idx="0">
                  <c:v>0.12563451776649745</c:v>
                </c:pt>
                <c:pt idx="1">
                  <c:v>0.98984771573604058</c:v>
                </c:pt>
                <c:pt idx="2">
                  <c:v>0.67766497461928932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F-4BF7-9523-18743AFB240A}"/>
            </c:ext>
          </c:extLst>
        </c:ser>
        <c:ser>
          <c:idx val="1"/>
          <c:order val="1"/>
          <c:tx>
            <c:strRef>
              <c:f>Sheet2!$L$105</c:f>
              <c:strCache>
                <c:ptCount val="1"/>
                <c:pt idx="0">
                  <c:v>Chuan10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strRef>
              <c:f>Sheet2!$I$106:$J$110</c:f>
              <c:strCache>
                <c:ptCount val="5"/>
                <c:pt idx="0">
                  <c:v>H2</c:v>
                </c:pt>
                <c:pt idx="1">
                  <c:v>CH4</c:v>
                </c:pt>
                <c:pt idx="2">
                  <c:v>C2H6</c:v>
                </c:pt>
                <c:pt idx="3">
                  <c:v>C2H4</c:v>
                </c:pt>
                <c:pt idx="4">
                  <c:v>C2H2</c:v>
                </c:pt>
              </c:strCache>
            </c:strRef>
          </c:xVal>
          <c:yVal>
            <c:numRef>
              <c:f>Sheet2!$L$106:$L$110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0.15</c:v>
                </c:pt>
                <c:pt idx="3">
                  <c:v>0.5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DF-4BF7-9523-18743AFB2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746735"/>
        <c:axId val="1"/>
      </c:scatterChart>
      <c:valAx>
        <c:axId val="638746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33CCCC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8746735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3412454959717708"/>
          <c:y val="0.43055638878473518"/>
          <c:w val="0.98736326205669789"/>
          <c:h val="0.52777881931425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473329778000855E-2"/>
          <c:y val="3.6769510953987894E-2"/>
          <c:w val="0.91391660252994689"/>
          <c:h val="0.89978529606876068"/>
        </c:manualLayout>
      </c:layout>
      <c:scatterChart>
        <c:scatterStyle val="lineMarker"/>
        <c:varyColors val="0"/>
        <c:ser>
          <c:idx val="0"/>
          <c:order val="0"/>
          <c:tx>
            <c:v>series 1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Sheet2!$B$202:$B$205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</c:numCache>
            </c:numRef>
          </c:xVal>
          <c:yVal>
            <c:numRef>
              <c:f>Sheet2!$C$202:$C$205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0.86602500000000004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E1-46E6-A12C-96D8EE29A4FA}"/>
            </c:ext>
          </c:extLst>
        </c:ser>
        <c:ser>
          <c:idx val="1"/>
          <c:order val="1"/>
          <c:tx>
            <c:v>series 2</c:v>
          </c:tx>
          <c:spPr>
            <a:ln w="9525" cap="rnd">
              <a:solidFill>
                <a:schemeClr val="tx1"/>
              </a:solidFill>
              <a:prstDash val="sysDot"/>
              <a:round/>
            </a:ln>
          </c:spPr>
          <c:marker>
            <c:symbol val="square"/>
            <c:size val="3"/>
          </c:marker>
          <c:xVal>
            <c:numRef>
              <c:f>Sheet2!$M$203:$M$255</c:f>
              <c:numCache>
                <c:formatCode>General</c:formatCode>
                <c:ptCount val="53"/>
                <c:pt idx="0">
                  <c:v>0.05</c:v>
                </c:pt>
                <c:pt idx="1">
                  <c:v>0.95000000000000007</c:v>
                </c:pt>
                <c:pt idx="2">
                  <c:v>0.9</c:v>
                </c:pt>
                <c:pt idx="3">
                  <c:v>0.1</c:v>
                </c:pt>
                <c:pt idx="4">
                  <c:v>0.15</c:v>
                </c:pt>
                <c:pt idx="5">
                  <c:v>0.85</c:v>
                </c:pt>
                <c:pt idx="6">
                  <c:v>0.8</c:v>
                </c:pt>
                <c:pt idx="7">
                  <c:v>0.2</c:v>
                </c:pt>
                <c:pt idx="8">
                  <c:v>0.25</c:v>
                </c:pt>
                <c:pt idx="9">
                  <c:v>0.75</c:v>
                </c:pt>
                <c:pt idx="10">
                  <c:v>0.7</c:v>
                </c:pt>
                <c:pt idx="11">
                  <c:v>0.3</c:v>
                </c:pt>
                <c:pt idx="12">
                  <c:v>0.35</c:v>
                </c:pt>
                <c:pt idx="13">
                  <c:v>0.64999999999999991</c:v>
                </c:pt>
                <c:pt idx="14">
                  <c:v>0.60000000000000009</c:v>
                </c:pt>
                <c:pt idx="15">
                  <c:v>0.4</c:v>
                </c:pt>
                <c:pt idx="16">
                  <c:v>0.45</c:v>
                </c:pt>
                <c:pt idx="17">
                  <c:v>0.55000000000000004</c:v>
                </c:pt>
                <c:pt idx="18">
                  <c:v>0.1</c:v>
                </c:pt>
                <c:pt idx="19">
                  <c:v>0.2</c:v>
                </c:pt>
                <c:pt idx="20">
                  <c:v>0.60000000000000009</c:v>
                </c:pt>
                <c:pt idx="21">
                  <c:v>0.64999999999999991</c:v>
                </c:pt>
                <c:pt idx="22">
                  <c:v>0.3</c:v>
                </c:pt>
                <c:pt idx="23">
                  <c:v>0.4</c:v>
                </c:pt>
                <c:pt idx="24">
                  <c:v>0.7</c:v>
                </c:pt>
                <c:pt idx="25">
                  <c:v>0.75</c:v>
                </c:pt>
                <c:pt idx="26">
                  <c:v>0.5</c:v>
                </c:pt>
                <c:pt idx="27">
                  <c:v>0.6</c:v>
                </c:pt>
                <c:pt idx="28">
                  <c:v>0.8</c:v>
                </c:pt>
                <c:pt idx="29">
                  <c:v>0.85</c:v>
                </c:pt>
                <c:pt idx="30">
                  <c:v>0.7</c:v>
                </c:pt>
                <c:pt idx="31">
                  <c:v>0.8</c:v>
                </c:pt>
                <c:pt idx="32">
                  <c:v>0.9</c:v>
                </c:pt>
                <c:pt idx="33">
                  <c:v>0.95000000000000007</c:v>
                </c:pt>
                <c:pt idx="34">
                  <c:v>0.9</c:v>
                </c:pt>
                <c:pt idx="35">
                  <c:v>0.45</c:v>
                </c:pt>
                <c:pt idx="36">
                  <c:v>0.4</c:v>
                </c:pt>
                <c:pt idx="37">
                  <c:v>0.8</c:v>
                </c:pt>
                <c:pt idx="38">
                  <c:v>0.7</c:v>
                </c:pt>
                <c:pt idx="39">
                  <c:v>0.35</c:v>
                </c:pt>
                <c:pt idx="40">
                  <c:v>0.3</c:v>
                </c:pt>
                <c:pt idx="41">
                  <c:v>0.6</c:v>
                </c:pt>
                <c:pt idx="42">
                  <c:v>0.5</c:v>
                </c:pt>
                <c:pt idx="43">
                  <c:v>0.25</c:v>
                </c:pt>
                <c:pt idx="44">
                  <c:v>0.2</c:v>
                </c:pt>
                <c:pt idx="45">
                  <c:v>0.4</c:v>
                </c:pt>
                <c:pt idx="46">
                  <c:v>0.3</c:v>
                </c:pt>
                <c:pt idx="47">
                  <c:v>0.15</c:v>
                </c:pt>
                <c:pt idx="48">
                  <c:v>0.1</c:v>
                </c:pt>
                <c:pt idx="49">
                  <c:v>0.2</c:v>
                </c:pt>
                <c:pt idx="50">
                  <c:v>0.1</c:v>
                </c:pt>
                <c:pt idx="51">
                  <c:v>0.1</c:v>
                </c:pt>
                <c:pt idx="52">
                  <c:v>0.05</c:v>
                </c:pt>
              </c:numCache>
            </c:numRef>
          </c:xVal>
          <c:yVal>
            <c:numRef>
              <c:f>Sheet2!$N$203:$N$255</c:f>
              <c:numCache>
                <c:formatCode>General</c:formatCode>
                <c:ptCount val="53"/>
                <c:pt idx="0">
                  <c:v>8.6602500000000013E-2</c:v>
                </c:pt>
                <c:pt idx="1">
                  <c:v>8.6602500000000013E-2</c:v>
                </c:pt>
                <c:pt idx="2">
                  <c:v>0.17320500000000003</c:v>
                </c:pt>
                <c:pt idx="3">
                  <c:v>0.17320500000000003</c:v>
                </c:pt>
                <c:pt idx="4">
                  <c:v>0.25980750000000002</c:v>
                </c:pt>
                <c:pt idx="5">
                  <c:v>0.25980750000000002</c:v>
                </c:pt>
                <c:pt idx="6">
                  <c:v>0.34641000000000005</c:v>
                </c:pt>
                <c:pt idx="7">
                  <c:v>0.34641000000000005</c:v>
                </c:pt>
                <c:pt idx="8">
                  <c:v>0.43301250000000002</c:v>
                </c:pt>
                <c:pt idx="9">
                  <c:v>0.43301250000000002</c:v>
                </c:pt>
                <c:pt idx="10">
                  <c:v>0.51961500000000005</c:v>
                </c:pt>
                <c:pt idx="11">
                  <c:v>0.51961500000000005</c:v>
                </c:pt>
                <c:pt idx="12">
                  <c:v>0.60621749999999996</c:v>
                </c:pt>
                <c:pt idx="13">
                  <c:v>0.60621749999999996</c:v>
                </c:pt>
                <c:pt idx="14">
                  <c:v>0.6928200000000001</c:v>
                </c:pt>
                <c:pt idx="15">
                  <c:v>0.6928200000000001</c:v>
                </c:pt>
                <c:pt idx="16">
                  <c:v>0.77942250000000002</c:v>
                </c:pt>
                <c:pt idx="17">
                  <c:v>0.77942250000000002</c:v>
                </c:pt>
                <c:pt idx="18">
                  <c:v>0</c:v>
                </c:pt>
                <c:pt idx="19">
                  <c:v>0</c:v>
                </c:pt>
                <c:pt idx="20">
                  <c:v>0.6928200000000001</c:v>
                </c:pt>
                <c:pt idx="21">
                  <c:v>0.60621749999999996</c:v>
                </c:pt>
                <c:pt idx="22">
                  <c:v>0</c:v>
                </c:pt>
                <c:pt idx="23">
                  <c:v>0</c:v>
                </c:pt>
                <c:pt idx="24">
                  <c:v>0.51961500000000005</c:v>
                </c:pt>
                <c:pt idx="25">
                  <c:v>0.43301250000000002</c:v>
                </c:pt>
                <c:pt idx="26">
                  <c:v>0</c:v>
                </c:pt>
                <c:pt idx="27">
                  <c:v>0</c:v>
                </c:pt>
                <c:pt idx="28">
                  <c:v>0.34641000000000005</c:v>
                </c:pt>
                <c:pt idx="29">
                  <c:v>0.25980750000000002</c:v>
                </c:pt>
                <c:pt idx="30">
                  <c:v>0</c:v>
                </c:pt>
                <c:pt idx="31">
                  <c:v>0</c:v>
                </c:pt>
                <c:pt idx="32">
                  <c:v>0.17320500000000003</c:v>
                </c:pt>
                <c:pt idx="33">
                  <c:v>8.6602500000000013E-2</c:v>
                </c:pt>
                <c:pt idx="34">
                  <c:v>0</c:v>
                </c:pt>
                <c:pt idx="35">
                  <c:v>0.77942250000000002</c:v>
                </c:pt>
                <c:pt idx="36">
                  <c:v>0.6928200000000001</c:v>
                </c:pt>
                <c:pt idx="37">
                  <c:v>0</c:v>
                </c:pt>
                <c:pt idx="38">
                  <c:v>0</c:v>
                </c:pt>
                <c:pt idx="39">
                  <c:v>0.60621749999999996</c:v>
                </c:pt>
                <c:pt idx="40">
                  <c:v>0.51961500000000005</c:v>
                </c:pt>
                <c:pt idx="41">
                  <c:v>0</c:v>
                </c:pt>
                <c:pt idx="42">
                  <c:v>0</c:v>
                </c:pt>
                <c:pt idx="43">
                  <c:v>0.43301250000000002</c:v>
                </c:pt>
                <c:pt idx="44">
                  <c:v>0.34641000000000005</c:v>
                </c:pt>
                <c:pt idx="45">
                  <c:v>0</c:v>
                </c:pt>
                <c:pt idx="46">
                  <c:v>0</c:v>
                </c:pt>
                <c:pt idx="47">
                  <c:v>0.25980750000000002</c:v>
                </c:pt>
                <c:pt idx="48">
                  <c:v>0.17320500000000003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8.6602500000000013E-2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E1-46E6-A12C-96D8EE29A4FA}"/>
            </c:ext>
          </c:extLst>
        </c:ser>
        <c:ser>
          <c:idx val="2"/>
          <c:order val="2"/>
          <c:tx>
            <c:v>series 3</c:v>
          </c:tx>
          <c:spPr>
            <a:ln w="12700">
              <a:solidFill>
                <a:schemeClr val="tx1">
                  <a:alpha val="70000"/>
                </a:schemeClr>
              </a:solidFill>
              <a:miter lim="800000"/>
            </a:ln>
          </c:spPr>
          <c:xVal>
            <c:numRef>
              <c:f>Sheet2!$F$208:$F$211</c:f>
              <c:numCache>
                <c:formatCode>0.00</c:formatCode>
                <c:ptCount val="4"/>
                <c:pt idx="0">
                  <c:v>0.51</c:v>
                </c:pt>
                <c:pt idx="1">
                  <c:v>0.505</c:v>
                </c:pt>
                <c:pt idx="2">
                  <c:v>0.56999999999999995</c:v>
                </c:pt>
                <c:pt idx="3">
                  <c:v>0.57499999999999996</c:v>
                </c:pt>
              </c:numCache>
            </c:numRef>
          </c:xVal>
          <c:yVal>
            <c:numRef>
              <c:f>Sheet2!$G$208:$G$211</c:f>
              <c:numCache>
                <c:formatCode>0.00</c:formatCode>
                <c:ptCount val="4"/>
                <c:pt idx="0">
                  <c:v>0.84870450000000008</c:v>
                </c:pt>
                <c:pt idx="1">
                  <c:v>0.84004425000000005</c:v>
                </c:pt>
                <c:pt idx="2">
                  <c:v>0.72746100000000002</c:v>
                </c:pt>
                <c:pt idx="3">
                  <c:v>0.73612125000000006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6E1-46E6-A12C-96D8EE29A4FA}"/>
            </c:ext>
          </c:extLst>
        </c:ser>
        <c:ser>
          <c:idx val="3"/>
          <c:order val="3"/>
          <c:tx>
            <c:v>series 4</c:v>
          </c:tx>
          <c:spPr>
            <a:ln w="12700">
              <a:solidFill>
                <a:schemeClr val="tx1"/>
              </a:solidFill>
            </a:ln>
          </c:spPr>
          <c:xVal>
            <c:numRef>
              <c:f>Sheet2!$F$212:$F$215</c:f>
              <c:numCache>
                <c:formatCode>0.00</c:formatCode>
                <c:ptCount val="4"/>
                <c:pt idx="0">
                  <c:v>0</c:v>
                </c:pt>
                <c:pt idx="1">
                  <c:v>0.7</c:v>
                </c:pt>
                <c:pt idx="2">
                  <c:v>0.65500000000000003</c:v>
                </c:pt>
                <c:pt idx="3">
                  <c:v>4.4999999999999998E-2</c:v>
                </c:pt>
              </c:numCache>
            </c:numRef>
          </c:xVal>
          <c:yVal>
            <c:numRef>
              <c:f>Sheet2!$G$212:$G$215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7.7942250000000005E-2</c:v>
                </c:pt>
                <c:pt idx="3">
                  <c:v>7.7942250000000005E-2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E1-46E6-A12C-96D8EE29A4FA}"/>
            </c:ext>
          </c:extLst>
        </c:ser>
        <c:ser>
          <c:idx val="4"/>
          <c:order val="4"/>
          <c:tx>
            <c:v>series 5</c:v>
          </c:tx>
          <c:spPr>
            <a:ln w="12700">
              <a:solidFill>
                <a:schemeClr val="tx1"/>
              </a:solidFill>
            </a:ln>
          </c:spPr>
          <c:dPt>
            <c:idx val="2"/>
            <c:bubble3D val="0"/>
            <c:spPr>
              <a:ln w="12700" cap="rnd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66E1-46E6-A12C-96D8EE29A4FA}"/>
              </c:ext>
            </c:extLst>
          </c:dPt>
          <c:xVal>
            <c:numRef>
              <c:f>Sheet2!$F$216:$F$218</c:f>
              <c:numCache>
                <c:formatCode>0.00</c:formatCode>
                <c:ptCount val="3"/>
                <c:pt idx="0">
                  <c:v>4.4999999999999998E-2</c:v>
                </c:pt>
                <c:pt idx="1">
                  <c:v>0.48499999999999999</c:v>
                </c:pt>
                <c:pt idx="2">
                  <c:v>0.27</c:v>
                </c:pt>
              </c:numCache>
            </c:numRef>
          </c:xVal>
          <c:yVal>
            <c:numRef>
              <c:f>Sheet2!$G$216:$G$218</c:f>
              <c:numCache>
                <c:formatCode>0.00</c:formatCode>
                <c:ptCount val="3"/>
                <c:pt idx="0">
                  <c:v>7.7942250000000005E-2</c:v>
                </c:pt>
                <c:pt idx="1">
                  <c:v>7.7942250000000005E-2</c:v>
                </c:pt>
                <c:pt idx="2">
                  <c:v>0.46765350000000006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E1-46E6-A12C-96D8EE29A4FA}"/>
            </c:ext>
          </c:extLst>
        </c:ser>
        <c:ser>
          <c:idx val="5"/>
          <c:order val="5"/>
          <c:tx>
            <c:v>series 6</c:v>
          </c:tx>
          <c:spPr>
            <a:ln w="12700" cap="rnd">
              <a:solidFill>
                <a:schemeClr val="tx1"/>
              </a:solidFill>
              <a:round/>
            </a:ln>
          </c:spPr>
          <c:marker>
            <c:spPr>
              <a:noFill/>
            </c:spPr>
          </c:marker>
          <c:xVal>
            <c:numRef>
              <c:f>Sheet2!$F$219:$F$230</c:f>
              <c:numCache>
                <c:formatCode>0.00</c:formatCode>
                <c:ptCount val="12"/>
                <c:pt idx="0">
                  <c:v>0.48499999999999999</c:v>
                </c:pt>
                <c:pt idx="1">
                  <c:v>0.65500000000000003</c:v>
                </c:pt>
                <c:pt idx="2">
                  <c:v>0.625</c:v>
                </c:pt>
                <c:pt idx="3">
                  <c:v>0.68499999999999994</c:v>
                </c:pt>
                <c:pt idx="4">
                  <c:v>0.56000000000000005</c:v>
                </c:pt>
                <c:pt idx="5">
                  <c:v>0.67999999999999994</c:v>
                </c:pt>
                <c:pt idx="6">
                  <c:v>0.57499999999999996</c:v>
                </c:pt>
                <c:pt idx="7">
                  <c:v>0.56999999999999995</c:v>
                </c:pt>
                <c:pt idx="8">
                  <c:v>0.505</c:v>
                </c:pt>
                <c:pt idx="9">
                  <c:v>0.51</c:v>
                </c:pt>
                <c:pt idx="10">
                  <c:v>0.5</c:v>
                </c:pt>
                <c:pt idx="11">
                  <c:v>0.32</c:v>
                </c:pt>
              </c:numCache>
            </c:numRef>
          </c:xVal>
          <c:yVal>
            <c:numRef>
              <c:f>Sheet2!$G$219:$G$230</c:f>
              <c:numCache>
                <c:formatCode>0.00</c:formatCode>
                <c:ptCount val="12"/>
                <c:pt idx="0">
                  <c:v>7.7942250000000005E-2</c:v>
                </c:pt>
                <c:pt idx="1">
                  <c:v>7.7942250000000005E-2</c:v>
                </c:pt>
                <c:pt idx="2">
                  <c:v>0.12990375000000001</c:v>
                </c:pt>
                <c:pt idx="3">
                  <c:v>0.12990375000000001</c:v>
                </c:pt>
                <c:pt idx="4">
                  <c:v>0.34641000000000005</c:v>
                </c:pt>
                <c:pt idx="5">
                  <c:v>0.55425600000000008</c:v>
                </c:pt>
                <c:pt idx="6">
                  <c:v>0.73612125000000006</c:v>
                </c:pt>
                <c:pt idx="7">
                  <c:v>0.72746100000000002</c:v>
                </c:pt>
                <c:pt idx="8">
                  <c:v>0.84004425000000005</c:v>
                </c:pt>
                <c:pt idx="9">
                  <c:v>0.84870450000000008</c:v>
                </c:pt>
                <c:pt idx="10">
                  <c:v>0.86602500000000004</c:v>
                </c:pt>
                <c:pt idx="11">
                  <c:v>0.55425600000000008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E1-46E6-A12C-96D8EE29A4FA}"/>
            </c:ext>
          </c:extLst>
        </c:ser>
        <c:ser>
          <c:idx val="6"/>
          <c:order val="6"/>
          <c:tx>
            <c:v>series 8</c:v>
          </c:tx>
          <c:spPr>
            <a:ln w="12700">
              <a:solidFill>
                <a:schemeClr val="tx1"/>
              </a:solidFill>
            </a:ln>
            <a:effectLst>
              <a:outerShdw blurRad="50800" dist="50800" dir="5400000" algn="ctr" rotWithShape="0">
                <a:srgbClr val="FFFF00"/>
              </a:outerShdw>
            </a:effectLst>
          </c:spPr>
          <c:marker>
            <c:symbol val="circle"/>
            <c:size val="5"/>
            <c:spPr>
              <a:solidFill>
                <a:srgbClr val="FF0000"/>
              </a:solidFill>
              <a:ln w="19050" cap="rnd">
                <a:solidFill>
                  <a:schemeClr val="tx1"/>
                </a:solidFill>
              </a:ln>
              <a:effectLst>
                <a:outerShdw blurRad="50800" dist="50800" dir="5400000" algn="ctr" rotWithShape="0">
                  <a:srgbClr val="FFFF00"/>
                </a:outerShdw>
              </a:effectLst>
            </c:spPr>
          </c:marker>
          <c:xVal>
            <c:numRef>
              <c:f>MBA!$P$196</c:f>
              <c:numCache>
                <c:formatCode>0.00</c:formatCode>
                <c:ptCount val="1"/>
                <c:pt idx="0">
                  <c:v>0.72382198952879584</c:v>
                </c:pt>
              </c:numCache>
            </c:numRef>
          </c:xVal>
          <c:yVal>
            <c:numRef>
              <c:f>MBA!$Q$196</c:f>
              <c:numCache>
                <c:formatCode>0.00</c:formatCode>
                <c:ptCount val="1"/>
                <c:pt idx="0">
                  <c:v>7.4813678010471202E-2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E1-46E6-A12C-96D8EE29A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745487"/>
        <c:axId val="1"/>
      </c:scatterChart>
      <c:valAx>
        <c:axId val="63874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8100" cap="rnd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crossAx val="638745487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series 2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Sheet2!$B$258:$B$261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</c:numCache>
            </c:numRef>
          </c:xVal>
          <c:yVal>
            <c:numRef>
              <c:f>Sheet2!$C$258:$C$261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0.86602500000000004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31-4510-B59F-3C1B9EB71B58}"/>
            </c:ext>
          </c:extLst>
        </c:ser>
        <c:ser>
          <c:idx val="2"/>
          <c:order val="1"/>
          <c:tx>
            <c:v>series 1</c:v>
          </c:tx>
          <c:spPr>
            <a:ln w="12700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Sheet2!$M$260:$M$312</c:f>
              <c:numCache>
                <c:formatCode>General</c:formatCode>
                <c:ptCount val="53"/>
                <c:pt idx="0">
                  <c:v>0.05</c:v>
                </c:pt>
                <c:pt idx="1">
                  <c:v>0.95000000000000007</c:v>
                </c:pt>
                <c:pt idx="2">
                  <c:v>0.9</c:v>
                </c:pt>
                <c:pt idx="3">
                  <c:v>0.1</c:v>
                </c:pt>
                <c:pt idx="4">
                  <c:v>0.15</c:v>
                </c:pt>
                <c:pt idx="5">
                  <c:v>0.85</c:v>
                </c:pt>
                <c:pt idx="6">
                  <c:v>0.8</c:v>
                </c:pt>
                <c:pt idx="7">
                  <c:v>0.2</c:v>
                </c:pt>
                <c:pt idx="8">
                  <c:v>0.25</c:v>
                </c:pt>
                <c:pt idx="9">
                  <c:v>0.75</c:v>
                </c:pt>
                <c:pt idx="10">
                  <c:v>0.7</c:v>
                </c:pt>
                <c:pt idx="11">
                  <c:v>0.3</c:v>
                </c:pt>
                <c:pt idx="12">
                  <c:v>0.35</c:v>
                </c:pt>
                <c:pt idx="13">
                  <c:v>0.64999999999999991</c:v>
                </c:pt>
                <c:pt idx="14">
                  <c:v>0.60000000000000009</c:v>
                </c:pt>
                <c:pt idx="15">
                  <c:v>0.4</c:v>
                </c:pt>
                <c:pt idx="16">
                  <c:v>0.45</c:v>
                </c:pt>
                <c:pt idx="17">
                  <c:v>0.55000000000000004</c:v>
                </c:pt>
                <c:pt idx="18">
                  <c:v>0.1</c:v>
                </c:pt>
                <c:pt idx="19">
                  <c:v>0.2</c:v>
                </c:pt>
                <c:pt idx="20">
                  <c:v>0.60000000000000009</c:v>
                </c:pt>
                <c:pt idx="21">
                  <c:v>0.64999999999999991</c:v>
                </c:pt>
                <c:pt idx="22">
                  <c:v>0.3</c:v>
                </c:pt>
                <c:pt idx="23">
                  <c:v>0.4</c:v>
                </c:pt>
                <c:pt idx="24">
                  <c:v>0.7</c:v>
                </c:pt>
                <c:pt idx="25">
                  <c:v>0.75</c:v>
                </c:pt>
                <c:pt idx="26">
                  <c:v>0.5</c:v>
                </c:pt>
                <c:pt idx="27">
                  <c:v>0.6</c:v>
                </c:pt>
                <c:pt idx="28">
                  <c:v>0.8</c:v>
                </c:pt>
                <c:pt idx="29">
                  <c:v>0.85</c:v>
                </c:pt>
                <c:pt idx="30">
                  <c:v>0.7</c:v>
                </c:pt>
                <c:pt idx="31">
                  <c:v>0.8</c:v>
                </c:pt>
                <c:pt idx="32">
                  <c:v>0.9</c:v>
                </c:pt>
                <c:pt idx="33">
                  <c:v>0.95000000000000007</c:v>
                </c:pt>
                <c:pt idx="34">
                  <c:v>0.9</c:v>
                </c:pt>
                <c:pt idx="35">
                  <c:v>0.45</c:v>
                </c:pt>
                <c:pt idx="36">
                  <c:v>0.4</c:v>
                </c:pt>
                <c:pt idx="37">
                  <c:v>0.8</c:v>
                </c:pt>
                <c:pt idx="38">
                  <c:v>0.7</c:v>
                </c:pt>
                <c:pt idx="39">
                  <c:v>0.35</c:v>
                </c:pt>
                <c:pt idx="40">
                  <c:v>0.3</c:v>
                </c:pt>
                <c:pt idx="41">
                  <c:v>0.6</c:v>
                </c:pt>
                <c:pt idx="42">
                  <c:v>0.5</c:v>
                </c:pt>
                <c:pt idx="43">
                  <c:v>0.25</c:v>
                </c:pt>
                <c:pt idx="44">
                  <c:v>0.2</c:v>
                </c:pt>
                <c:pt idx="45">
                  <c:v>0.4</c:v>
                </c:pt>
                <c:pt idx="46">
                  <c:v>0.3</c:v>
                </c:pt>
                <c:pt idx="47">
                  <c:v>0.15</c:v>
                </c:pt>
                <c:pt idx="48">
                  <c:v>0.1</c:v>
                </c:pt>
                <c:pt idx="49">
                  <c:v>0.2</c:v>
                </c:pt>
                <c:pt idx="50">
                  <c:v>0.1</c:v>
                </c:pt>
                <c:pt idx="51">
                  <c:v>0.1</c:v>
                </c:pt>
                <c:pt idx="52">
                  <c:v>0.05</c:v>
                </c:pt>
              </c:numCache>
            </c:numRef>
          </c:xVal>
          <c:yVal>
            <c:numRef>
              <c:f>Sheet2!$N$260:$N$312</c:f>
              <c:numCache>
                <c:formatCode>General</c:formatCode>
                <c:ptCount val="53"/>
                <c:pt idx="0">
                  <c:v>8.6602500000000013E-2</c:v>
                </c:pt>
                <c:pt idx="1">
                  <c:v>8.6602500000000013E-2</c:v>
                </c:pt>
                <c:pt idx="2">
                  <c:v>0.17320500000000003</c:v>
                </c:pt>
                <c:pt idx="3">
                  <c:v>0.17320500000000003</c:v>
                </c:pt>
                <c:pt idx="4">
                  <c:v>0.25980750000000002</c:v>
                </c:pt>
                <c:pt idx="5">
                  <c:v>0.25980750000000002</c:v>
                </c:pt>
                <c:pt idx="6">
                  <c:v>0.34641000000000005</c:v>
                </c:pt>
                <c:pt idx="7">
                  <c:v>0.34641000000000005</c:v>
                </c:pt>
                <c:pt idx="8">
                  <c:v>0.43301250000000002</c:v>
                </c:pt>
                <c:pt idx="9">
                  <c:v>0.43301250000000002</c:v>
                </c:pt>
                <c:pt idx="10">
                  <c:v>0.51961500000000005</c:v>
                </c:pt>
                <c:pt idx="11">
                  <c:v>0.51961500000000005</c:v>
                </c:pt>
                <c:pt idx="12">
                  <c:v>0.60621749999999996</c:v>
                </c:pt>
                <c:pt idx="13">
                  <c:v>0.60621749999999996</c:v>
                </c:pt>
                <c:pt idx="14">
                  <c:v>0.6928200000000001</c:v>
                </c:pt>
                <c:pt idx="15">
                  <c:v>0.6928200000000001</c:v>
                </c:pt>
                <c:pt idx="16">
                  <c:v>0.77942250000000002</c:v>
                </c:pt>
                <c:pt idx="17">
                  <c:v>0.77942250000000002</c:v>
                </c:pt>
                <c:pt idx="18">
                  <c:v>0</c:v>
                </c:pt>
                <c:pt idx="19">
                  <c:v>0</c:v>
                </c:pt>
                <c:pt idx="20">
                  <c:v>0.6928200000000001</c:v>
                </c:pt>
                <c:pt idx="21">
                  <c:v>0.60621749999999996</c:v>
                </c:pt>
                <c:pt idx="22">
                  <c:v>0</c:v>
                </c:pt>
                <c:pt idx="23">
                  <c:v>0</c:v>
                </c:pt>
                <c:pt idx="24">
                  <c:v>0.51961500000000005</c:v>
                </c:pt>
                <c:pt idx="25">
                  <c:v>0.43301250000000002</c:v>
                </c:pt>
                <c:pt idx="26">
                  <c:v>0</c:v>
                </c:pt>
                <c:pt idx="27">
                  <c:v>0</c:v>
                </c:pt>
                <c:pt idx="28">
                  <c:v>0.34641000000000005</c:v>
                </c:pt>
                <c:pt idx="29">
                  <c:v>0.25980750000000002</c:v>
                </c:pt>
                <c:pt idx="30">
                  <c:v>0</c:v>
                </c:pt>
                <c:pt idx="31">
                  <c:v>0</c:v>
                </c:pt>
                <c:pt idx="32">
                  <c:v>0.17320500000000003</c:v>
                </c:pt>
                <c:pt idx="33">
                  <c:v>8.6602500000000013E-2</c:v>
                </c:pt>
                <c:pt idx="34">
                  <c:v>0</c:v>
                </c:pt>
                <c:pt idx="35">
                  <c:v>0.77942250000000002</c:v>
                </c:pt>
                <c:pt idx="36">
                  <c:v>0.6928200000000001</c:v>
                </c:pt>
                <c:pt idx="37">
                  <c:v>0</c:v>
                </c:pt>
                <c:pt idx="38">
                  <c:v>0</c:v>
                </c:pt>
                <c:pt idx="39">
                  <c:v>0.60621749999999996</c:v>
                </c:pt>
                <c:pt idx="40">
                  <c:v>0.51961500000000005</c:v>
                </c:pt>
                <c:pt idx="41">
                  <c:v>0</c:v>
                </c:pt>
                <c:pt idx="42">
                  <c:v>0</c:v>
                </c:pt>
                <c:pt idx="43">
                  <c:v>0.43301250000000002</c:v>
                </c:pt>
                <c:pt idx="44">
                  <c:v>0.34641000000000005</c:v>
                </c:pt>
                <c:pt idx="45">
                  <c:v>0</c:v>
                </c:pt>
                <c:pt idx="46">
                  <c:v>0</c:v>
                </c:pt>
                <c:pt idx="47">
                  <c:v>0.25980750000000002</c:v>
                </c:pt>
                <c:pt idx="48">
                  <c:v>0.17320500000000003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8.6602500000000013E-2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31-4510-B59F-3C1B9EB71B58}"/>
            </c:ext>
          </c:extLst>
        </c:ser>
        <c:ser>
          <c:idx val="0"/>
          <c:order val="2"/>
          <c:tx>
            <c:v>series 3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Sheet2!$F$264:$F$267</c:f>
              <c:numCache>
                <c:formatCode>0.00</c:formatCode>
                <c:ptCount val="4"/>
                <c:pt idx="0">
                  <c:v>0.42499999999999999</c:v>
                </c:pt>
                <c:pt idx="1">
                  <c:v>0.43</c:v>
                </c:pt>
                <c:pt idx="2">
                  <c:v>0.495</c:v>
                </c:pt>
                <c:pt idx="3">
                  <c:v>0.49</c:v>
                </c:pt>
              </c:numCache>
            </c:numRef>
          </c:xVal>
          <c:yVal>
            <c:numRef>
              <c:f>Sheet2!$G$264:$G$267</c:f>
              <c:numCache>
                <c:formatCode>0.00</c:formatCode>
                <c:ptCount val="4"/>
                <c:pt idx="0">
                  <c:v>0.73612125000000006</c:v>
                </c:pt>
                <c:pt idx="1">
                  <c:v>0.72746100000000002</c:v>
                </c:pt>
                <c:pt idx="2">
                  <c:v>0.84004425000000005</c:v>
                </c:pt>
                <c:pt idx="3">
                  <c:v>0.84870450000000008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31-4510-B59F-3C1B9EB71B58}"/>
            </c:ext>
          </c:extLst>
        </c:ser>
        <c:ser>
          <c:idx val="3"/>
          <c:order val="3"/>
          <c:tx>
            <c:v>series 4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Sheet2!$F$268:$F$271</c:f>
              <c:numCache>
                <c:formatCode>0.00</c:formatCode>
                <c:ptCount val="4"/>
                <c:pt idx="0">
                  <c:v>0.23</c:v>
                </c:pt>
                <c:pt idx="1">
                  <c:v>0.27500000000000002</c:v>
                </c:pt>
                <c:pt idx="2">
                  <c:v>0.47499999999999998</c:v>
                </c:pt>
                <c:pt idx="3">
                  <c:v>0.42499999999999999</c:v>
                </c:pt>
              </c:numCache>
            </c:numRef>
          </c:xVal>
          <c:yVal>
            <c:numRef>
              <c:f>Sheet2!$G$268:$G$271</c:f>
              <c:numCache>
                <c:formatCode>0.00</c:formatCode>
                <c:ptCount val="4"/>
                <c:pt idx="0">
                  <c:v>0.39837150000000005</c:v>
                </c:pt>
                <c:pt idx="1">
                  <c:v>0.30310874999999998</c:v>
                </c:pt>
                <c:pt idx="2">
                  <c:v>0.64951875000000003</c:v>
                </c:pt>
                <c:pt idx="3">
                  <c:v>0.73612125000000006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31-4510-B59F-3C1B9EB71B58}"/>
            </c:ext>
          </c:extLst>
        </c:ser>
        <c:ser>
          <c:idx val="4"/>
          <c:order val="4"/>
          <c:tx>
            <c:v>series 5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Sheet2!$F$272:$F$275</c:f>
              <c:numCache>
                <c:formatCode>0.00</c:formatCode>
                <c:ptCount val="4"/>
                <c:pt idx="0">
                  <c:v>0</c:v>
                </c:pt>
                <c:pt idx="1">
                  <c:v>0.35</c:v>
                </c:pt>
                <c:pt idx="2">
                  <c:v>0.52499999999999991</c:v>
                </c:pt>
                <c:pt idx="3">
                  <c:v>0.4</c:v>
                </c:pt>
              </c:numCache>
            </c:numRef>
          </c:xVal>
          <c:yVal>
            <c:numRef>
              <c:f>Sheet2!$G$272:$G$275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0.30310874999999998</c:v>
                </c:pt>
                <c:pt idx="3">
                  <c:v>0.51961500000000005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31-4510-B59F-3C1B9EB71B58}"/>
            </c:ext>
          </c:extLst>
        </c:ser>
        <c:ser>
          <c:idx val="6"/>
          <c:order val="5"/>
          <c:tx>
            <c:v>series 8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Sheet2!$F$285:$F$289</c:f>
              <c:numCache>
                <c:formatCode>0.00</c:formatCode>
                <c:ptCount val="5"/>
                <c:pt idx="0">
                  <c:v>0.7</c:v>
                </c:pt>
                <c:pt idx="1">
                  <c:v>0.77999999999999992</c:v>
                </c:pt>
                <c:pt idx="2">
                  <c:v>0.67999999999999994</c:v>
                </c:pt>
                <c:pt idx="3">
                  <c:v>0.69</c:v>
                </c:pt>
                <c:pt idx="4">
                  <c:v>0.49</c:v>
                </c:pt>
              </c:numCache>
            </c:numRef>
          </c:xVal>
          <c:yVal>
            <c:numRef>
              <c:f>Sheet2!$G$285:$G$289</c:f>
              <c:numCache>
                <c:formatCode>0.00</c:formatCode>
                <c:ptCount val="5"/>
                <c:pt idx="0">
                  <c:v>0</c:v>
                </c:pt>
                <c:pt idx="1">
                  <c:v>0.13856400000000002</c:v>
                </c:pt>
                <c:pt idx="2">
                  <c:v>0.31176900000000002</c:v>
                </c:pt>
                <c:pt idx="3">
                  <c:v>0.32908950000000003</c:v>
                </c:pt>
                <c:pt idx="4">
                  <c:v>0.67549950000000003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31-4510-B59F-3C1B9EB71B58}"/>
            </c:ext>
          </c:extLst>
        </c:ser>
        <c:ser>
          <c:idx val="7"/>
          <c:order val="6"/>
          <c:tx>
            <c:v>series 9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Sheet2!$F$291:$F$294</c:f>
              <c:numCache>
                <c:formatCode>0.00</c:formatCode>
                <c:ptCount val="4"/>
                <c:pt idx="0">
                  <c:v>0.61499999999999999</c:v>
                </c:pt>
                <c:pt idx="1">
                  <c:v>0.67500000000000004</c:v>
                </c:pt>
                <c:pt idx="2">
                  <c:v>0.55000000000000004</c:v>
                </c:pt>
                <c:pt idx="3">
                  <c:v>0.44999999999999996</c:v>
                </c:pt>
              </c:numCache>
            </c:numRef>
          </c:xVal>
          <c:yVal>
            <c:numRef>
              <c:f>Sheet2!$G$291:$G$294</c:f>
              <c:numCache>
                <c:formatCode>0.00</c:formatCode>
                <c:ptCount val="4"/>
                <c:pt idx="0">
                  <c:v>0.45899325000000002</c:v>
                </c:pt>
                <c:pt idx="1">
                  <c:v>0.56291625000000001</c:v>
                </c:pt>
                <c:pt idx="2">
                  <c:v>0.77942250000000002</c:v>
                </c:pt>
                <c:pt idx="3">
                  <c:v>0.60621749999999996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631-4510-B59F-3C1B9EB71B58}"/>
            </c:ext>
          </c:extLst>
        </c:ser>
        <c:ser>
          <c:idx val="8"/>
          <c:order val="7"/>
          <c:tx>
            <c:v>series 10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Sheet2!$F$305:$F$306</c:f>
              <c:numCache>
                <c:formatCode>General</c:formatCode>
                <c:ptCount val="2"/>
                <c:pt idx="0">
                  <c:v>0.5</c:v>
                </c:pt>
                <c:pt idx="1">
                  <c:v>0.7</c:v>
                </c:pt>
              </c:numCache>
            </c:numRef>
          </c:xVal>
          <c:yVal>
            <c:numRef>
              <c:f>Sheet2!$G$305:$G$306</c:f>
              <c:numCache>
                <c:formatCode>General</c:formatCode>
                <c:ptCount val="2"/>
                <c:pt idx="0">
                  <c:v>0.35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631-4510-B59F-3C1B9EB71B58}"/>
            </c:ext>
          </c:extLst>
        </c:ser>
        <c:ser>
          <c:idx val="5"/>
          <c:order val="8"/>
          <c:tx>
            <c:v>series 6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Sheet2!$F$308:$F$309</c:f>
              <c:numCache>
                <c:formatCode>General</c:formatCode>
                <c:ptCount val="2"/>
                <c:pt idx="0">
                  <c:v>0.28000000000000003</c:v>
                </c:pt>
                <c:pt idx="1">
                  <c:v>0.1</c:v>
                </c:pt>
              </c:numCache>
            </c:numRef>
          </c:xVal>
          <c:yVal>
            <c:numRef>
              <c:f>Sheet2!$G$308:$G$309</c:f>
              <c:numCache>
                <c:formatCode>General</c:formatCode>
                <c:ptCount val="2"/>
                <c:pt idx="0">
                  <c:v>0.31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631-4510-B59F-3C1B9EB71B58}"/>
            </c:ext>
          </c:extLst>
        </c:ser>
        <c:ser>
          <c:idx val="9"/>
          <c:order val="9"/>
          <c:tx>
            <c:v>series 15</c:v>
          </c:tx>
          <c:spPr>
            <a:ln w="12700" cap="rnd" cmpd="sng" algn="ctr">
              <a:solidFill>
                <a:sysClr val="windowText" lastClr="0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19050" cap="rnd">
                <a:solidFill>
                  <a:sysClr val="windowText" lastClr="000000"/>
                </a:solidFill>
              </a:ln>
            </c:spPr>
          </c:marker>
          <c:dPt>
            <c:idx val="0"/>
            <c:bubble3D val="0"/>
            <c:spPr>
              <a:ln w="12700">
                <a:solidFill>
                  <a:srgbClr val="FFFF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7631-4510-B59F-3C1B9EB71B58}"/>
              </c:ext>
            </c:extLst>
          </c:dPt>
          <c:xVal>
            <c:numRef>
              <c:f>MBA!$O$225</c:f>
              <c:numCache>
                <c:formatCode>0.00</c:formatCode>
                <c:ptCount val="1"/>
                <c:pt idx="0">
                  <c:v>0.64196185286103546</c:v>
                </c:pt>
              </c:numCache>
            </c:numRef>
          </c:xVal>
          <c:yVal>
            <c:numRef>
              <c:f>MBA!$P$225</c:f>
              <c:numCache>
                <c:formatCode>0.00</c:formatCode>
                <c:ptCount val="1"/>
                <c:pt idx="0">
                  <c:v>0.36811961852861036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631-4510-B59F-3C1B9EB71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747151"/>
        <c:axId val="1"/>
      </c:scatterChart>
      <c:valAx>
        <c:axId val="638747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38747151"/>
        <c:crosses val="autoZero"/>
        <c:crossBetween val="midCat"/>
      </c:valAx>
      <c:spPr>
        <a:solidFill>
          <a:schemeClr val="bg1"/>
        </a:solidFill>
        <a:ln cap="rnd">
          <a:solidFill>
            <a:sysClr val="windowText" lastClr="000000"/>
          </a:solidFill>
        </a:ln>
        <a:effectLst>
          <a:outerShdw blurRad="50800" dist="1358900" sx="1000" sy="1000" algn="ctr" rotWithShape="0">
            <a:srgbClr val="000000"/>
          </a:outerShdw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Pentagon 2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3466666666666667E-2"/>
          <c:y val="6.5366734980045305E-2"/>
          <c:w val="0.95306666666666662"/>
          <c:h val="0.91117301261999784"/>
        </c:manualLayout>
      </c:layout>
      <c:scatterChart>
        <c:scatterStyle val="lineMarker"/>
        <c:varyColors val="0"/>
        <c:ser>
          <c:idx val="0"/>
          <c:order val="0"/>
          <c:tx>
            <c:v>Pentagon-2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Sheet2!$B$344:$B$349</c:f>
              <c:numCache>
                <c:formatCode>General</c:formatCode>
                <c:ptCount val="6"/>
                <c:pt idx="0">
                  <c:v>0</c:v>
                </c:pt>
                <c:pt idx="1">
                  <c:v>-38</c:v>
                </c:pt>
                <c:pt idx="2">
                  <c:v>-23.5</c:v>
                </c:pt>
                <c:pt idx="3">
                  <c:v>23.5</c:v>
                </c:pt>
                <c:pt idx="4">
                  <c:v>38</c:v>
                </c:pt>
                <c:pt idx="5">
                  <c:v>0</c:v>
                </c:pt>
              </c:numCache>
            </c:numRef>
          </c:xVal>
          <c:yVal>
            <c:numRef>
              <c:f>Sheet2!$C$344:$C$349</c:f>
              <c:numCache>
                <c:formatCode>General</c:formatCode>
                <c:ptCount val="6"/>
                <c:pt idx="0">
                  <c:v>40</c:v>
                </c:pt>
                <c:pt idx="1">
                  <c:v>12.4</c:v>
                </c:pt>
                <c:pt idx="2">
                  <c:v>-32.4</c:v>
                </c:pt>
                <c:pt idx="3">
                  <c:v>-32.4</c:v>
                </c:pt>
                <c:pt idx="4">
                  <c:v>12.4</c:v>
                </c:pt>
                <c:pt idx="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F7-423D-94E9-38460223B6C1}"/>
            </c:ext>
          </c:extLst>
        </c:ser>
        <c:ser>
          <c:idx val="2"/>
          <c:order val="1"/>
          <c:tx>
            <c:v>C2H6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DF7-423D-94E9-38460223B6C1}"/>
            </c:ext>
          </c:extLst>
        </c:ser>
        <c:ser>
          <c:idx val="3"/>
          <c:order val="2"/>
          <c:tx>
            <c:v>CH4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DF7-423D-94E9-38460223B6C1}"/>
            </c:ext>
          </c:extLst>
        </c:ser>
        <c:ser>
          <c:idx val="4"/>
          <c:order val="3"/>
          <c:tx>
            <c:v>C2H4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DF7-423D-94E9-38460223B6C1}"/>
            </c:ext>
          </c:extLst>
        </c:ser>
        <c:ser>
          <c:idx val="5"/>
          <c:order val="4"/>
          <c:tx>
            <c:v>C2H2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DF7-423D-94E9-38460223B6C1}"/>
            </c:ext>
          </c:extLst>
        </c:ser>
        <c:ser>
          <c:idx val="6"/>
          <c:order val="5"/>
          <c:tx>
            <c:v>PD</c:v>
          </c:tx>
          <c:spPr>
            <a:ln w="12700" cap="rnd">
              <a:solidFill>
                <a:srgbClr val="FF0000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5"/>
            <c:spPr>
              <a:noFill/>
              <a:ln w="9525"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xVal>
            <c:numRef>
              <c:f>Sheet2!$G$343:$G$347</c:f>
              <c:numCache>
                <c:formatCode>General</c:formatCode>
                <c:ptCount val="5"/>
                <c:pt idx="0">
                  <c:v>0</c:v>
                </c:pt>
                <c:pt idx="1">
                  <c:v>-1</c:v>
                </c:pt>
                <c:pt idx="2">
                  <c:v>-1</c:v>
                </c:pt>
                <c:pt idx="3">
                  <c:v>0</c:v>
                </c:pt>
              </c:numCache>
            </c:numRef>
          </c:xVal>
          <c:yVal>
            <c:numRef>
              <c:f>Sheet2!$H$343:$H$347</c:f>
              <c:numCache>
                <c:formatCode>General</c:formatCode>
                <c:ptCount val="5"/>
                <c:pt idx="0">
                  <c:v>33</c:v>
                </c:pt>
                <c:pt idx="1">
                  <c:v>33</c:v>
                </c:pt>
                <c:pt idx="2">
                  <c:v>24.5</c:v>
                </c:pt>
                <c:pt idx="3">
                  <c:v>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F7-423D-94E9-38460223B6C1}"/>
            </c:ext>
          </c:extLst>
        </c:ser>
        <c:ser>
          <c:idx val="7"/>
          <c:order val="6"/>
          <c:tx>
            <c:v>D1</c:v>
          </c:tx>
          <c:spPr>
            <a:ln w="12700" cap="rnd">
              <a:solidFill>
                <a:srgbClr val="0070C0"/>
              </a:solidFill>
              <a:round/>
            </a:ln>
            <a:effectLst>
              <a:glow>
                <a:schemeClr val="bg1">
                  <a:lumMod val="95000"/>
                </a:schemeClr>
              </a:glow>
              <a:softEdge rad="0"/>
            </a:effectLst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>
                <a:glow>
                  <a:schemeClr val="bg1">
                    <a:lumMod val="95000"/>
                  </a:schemeClr>
                </a:glow>
                <a:softEdge rad="0"/>
              </a:effectLst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BDF7-423D-94E9-38460223B6C1}"/>
              </c:ext>
            </c:extLst>
          </c:dPt>
          <c:xVal>
            <c:numRef>
              <c:f>Sheet2!$G$348:$G$353</c:f>
              <c:numCache>
                <c:formatCode>General</c:formatCode>
                <c:ptCount val="6"/>
                <c:pt idx="0">
                  <c:v>0</c:v>
                </c:pt>
                <c:pt idx="1">
                  <c:v>38</c:v>
                </c:pt>
                <c:pt idx="2">
                  <c:v>32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Sheet2!$H$348:$H$353</c:f>
              <c:numCache>
                <c:formatCode>General</c:formatCode>
                <c:ptCount val="6"/>
                <c:pt idx="0">
                  <c:v>40</c:v>
                </c:pt>
                <c:pt idx="1">
                  <c:v>12</c:v>
                </c:pt>
                <c:pt idx="2">
                  <c:v>-6.1</c:v>
                </c:pt>
                <c:pt idx="3">
                  <c:v>16</c:v>
                </c:pt>
                <c:pt idx="4">
                  <c:v>1.5</c:v>
                </c:pt>
                <c:pt idx="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DF7-423D-94E9-38460223B6C1}"/>
            </c:ext>
          </c:extLst>
        </c:ser>
        <c:ser>
          <c:idx val="8"/>
          <c:order val="7"/>
          <c:tx>
            <c:v>D2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Sheet2!$G$354:$G$358</c:f>
              <c:numCache>
                <c:formatCode>General</c:formatCode>
                <c:ptCount val="5"/>
                <c:pt idx="0">
                  <c:v>4</c:v>
                </c:pt>
                <c:pt idx="1">
                  <c:v>32</c:v>
                </c:pt>
                <c:pt idx="2">
                  <c:v>24.3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Sheet2!$H$354:$H$358</c:f>
              <c:numCache>
                <c:formatCode>General</c:formatCode>
                <c:ptCount val="5"/>
                <c:pt idx="0">
                  <c:v>16</c:v>
                </c:pt>
                <c:pt idx="1">
                  <c:v>-6.1</c:v>
                </c:pt>
                <c:pt idx="2">
                  <c:v>-30</c:v>
                </c:pt>
                <c:pt idx="3">
                  <c:v>-3</c:v>
                </c:pt>
                <c:pt idx="4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F7-423D-94E9-38460223B6C1}"/>
            </c:ext>
          </c:extLst>
        </c:ser>
        <c:ser>
          <c:idx val="12"/>
          <c:order val="8"/>
          <c:tx>
            <c:v>Centroid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>
                  <a:alpha val="99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Sheet2!$B$340</c:f>
              <c:numCache>
                <c:formatCode>0.0</c:formatCode>
                <c:ptCount val="1"/>
                <c:pt idx="0">
                  <c:v>-3.0883239374411211</c:v>
                </c:pt>
              </c:numCache>
            </c:numRef>
          </c:xVal>
          <c:yVal>
            <c:numRef>
              <c:f>Sheet2!$C$340</c:f>
              <c:numCache>
                <c:formatCode>0.0</c:formatCode>
                <c:ptCount val="1"/>
                <c:pt idx="0">
                  <c:v>-18.043089138830524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DF7-423D-94E9-38460223B6C1}"/>
            </c:ext>
          </c:extLst>
        </c:ser>
        <c:ser>
          <c:idx val="13"/>
          <c:order val="9"/>
          <c:tx>
            <c:v>T3-H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Sheet2!$G$365:$G$370</c:f>
              <c:numCache>
                <c:formatCode>General</c:formatCode>
                <c:ptCount val="6"/>
                <c:pt idx="0">
                  <c:v>0</c:v>
                </c:pt>
                <c:pt idx="1">
                  <c:v>24.3</c:v>
                </c:pt>
                <c:pt idx="2">
                  <c:v>23.5</c:v>
                </c:pt>
                <c:pt idx="3">
                  <c:v>2.5</c:v>
                </c:pt>
                <c:pt idx="4">
                  <c:v>-3.5</c:v>
                </c:pt>
                <c:pt idx="5">
                  <c:v>0</c:v>
                </c:pt>
              </c:numCache>
            </c:numRef>
          </c:xVal>
          <c:yVal>
            <c:numRef>
              <c:f>Sheet2!$H$365:$H$370</c:f>
              <c:numCache>
                <c:formatCode>General</c:formatCode>
                <c:ptCount val="6"/>
                <c:pt idx="0">
                  <c:v>-3</c:v>
                </c:pt>
                <c:pt idx="1">
                  <c:v>-30</c:v>
                </c:pt>
                <c:pt idx="2">
                  <c:v>-32.4</c:v>
                </c:pt>
                <c:pt idx="3">
                  <c:v>-32.4</c:v>
                </c:pt>
                <c:pt idx="4">
                  <c:v>-3</c:v>
                </c:pt>
                <c:pt idx="5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DF7-423D-94E9-38460223B6C1}"/>
            </c:ext>
          </c:extLst>
        </c:ser>
        <c:ser>
          <c:idx val="15"/>
          <c:order val="10"/>
          <c:tx>
            <c:v>O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Sheet2!$G$375:$G$381</c:f>
              <c:numCache>
                <c:formatCode>General</c:formatCode>
                <c:ptCount val="7"/>
                <c:pt idx="0">
                  <c:v>-3.5</c:v>
                </c:pt>
                <c:pt idx="1">
                  <c:v>-11</c:v>
                </c:pt>
                <c:pt idx="2">
                  <c:v>-21.5</c:v>
                </c:pt>
                <c:pt idx="3">
                  <c:v>-23.5</c:v>
                </c:pt>
                <c:pt idx="4">
                  <c:v>-35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Sheet2!$H$375:$H$381</c:f>
              <c:numCache>
                <c:formatCode>General</c:formatCode>
                <c:ptCount val="7"/>
                <c:pt idx="0">
                  <c:v>-3</c:v>
                </c:pt>
                <c:pt idx="1">
                  <c:v>-8</c:v>
                </c:pt>
                <c:pt idx="2">
                  <c:v>-32.4</c:v>
                </c:pt>
                <c:pt idx="3">
                  <c:v>-32.4</c:v>
                </c:pt>
                <c:pt idx="4">
                  <c:v>3.1</c:v>
                </c:pt>
                <c:pt idx="5">
                  <c:v>1.5</c:v>
                </c:pt>
                <c:pt idx="6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F7-423D-94E9-38460223B6C1}"/>
            </c:ext>
          </c:extLst>
        </c:ser>
        <c:ser>
          <c:idx val="9"/>
          <c:order val="11"/>
          <c:tx>
            <c:v>S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Sheet2!$J$351:$J$357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-35</c:v>
                </c:pt>
                <c:pt idx="3">
                  <c:v>-38</c:v>
                </c:pt>
                <c:pt idx="4">
                  <c:v>0</c:v>
                </c:pt>
                <c:pt idx="5">
                  <c:v>0</c:v>
                </c:pt>
                <c:pt idx="6">
                  <c:v>-1</c:v>
                </c:pt>
              </c:numCache>
            </c:numRef>
          </c:xVal>
          <c:yVal>
            <c:numRef>
              <c:f>Sheet2!$K$351:$K$357</c:f>
              <c:numCache>
                <c:formatCode>General</c:formatCode>
                <c:ptCount val="7"/>
                <c:pt idx="0">
                  <c:v>-3</c:v>
                </c:pt>
                <c:pt idx="1">
                  <c:v>1.5</c:v>
                </c:pt>
                <c:pt idx="2">
                  <c:v>3.1</c:v>
                </c:pt>
                <c:pt idx="3">
                  <c:v>12.4</c:v>
                </c:pt>
                <c:pt idx="4">
                  <c:v>40</c:v>
                </c:pt>
                <c:pt idx="5">
                  <c:v>33</c:v>
                </c:pt>
                <c:pt idx="6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F7-423D-94E9-38460223B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151215"/>
        <c:axId val="1"/>
      </c:scatterChart>
      <c:valAx>
        <c:axId val="64515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51215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Pentagon 1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3466666666666667E-2"/>
          <c:y val="6.6931336380155276E-2"/>
          <c:w val="0.95306666666666662"/>
          <c:h val="0.90960831819099552"/>
        </c:manualLayout>
      </c:layout>
      <c:scatterChart>
        <c:scatterStyle val="lineMarker"/>
        <c:varyColors val="0"/>
        <c:ser>
          <c:idx val="0"/>
          <c:order val="0"/>
          <c:tx>
            <c:v>Pentagon-1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Sheet2!$B$344:$B$349</c:f>
              <c:numCache>
                <c:formatCode>General</c:formatCode>
                <c:ptCount val="6"/>
                <c:pt idx="0">
                  <c:v>0</c:v>
                </c:pt>
                <c:pt idx="1">
                  <c:v>-38</c:v>
                </c:pt>
                <c:pt idx="2">
                  <c:v>-23.5</c:v>
                </c:pt>
                <c:pt idx="3">
                  <c:v>23.5</c:v>
                </c:pt>
                <c:pt idx="4">
                  <c:v>38</c:v>
                </c:pt>
                <c:pt idx="5">
                  <c:v>0</c:v>
                </c:pt>
              </c:numCache>
            </c:numRef>
          </c:xVal>
          <c:yVal>
            <c:numRef>
              <c:f>Sheet2!$C$344:$C$349</c:f>
              <c:numCache>
                <c:formatCode>General</c:formatCode>
                <c:ptCount val="6"/>
                <c:pt idx="0">
                  <c:v>40</c:v>
                </c:pt>
                <c:pt idx="1">
                  <c:v>12.4</c:v>
                </c:pt>
                <c:pt idx="2">
                  <c:v>-32.4</c:v>
                </c:pt>
                <c:pt idx="3">
                  <c:v>-32.4</c:v>
                </c:pt>
                <c:pt idx="4">
                  <c:v>12.4</c:v>
                </c:pt>
                <c:pt idx="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E4-41E8-9D28-4AD36F375B08}"/>
            </c:ext>
          </c:extLst>
        </c:ser>
        <c:ser>
          <c:idx val="2"/>
          <c:order val="1"/>
          <c:tx>
            <c:v>C2H6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3E4-41E8-9D28-4AD36F375B08}"/>
            </c:ext>
          </c:extLst>
        </c:ser>
        <c:ser>
          <c:idx val="3"/>
          <c:order val="2"/>
          <c:tx>
            <c:v>CH4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3E4-41E8-9D28-4AD36F375B08}"/>
            </c:ext>
          </c:extLst>
        </c:ser>
        <c:ser>
          <c:idx val="4"/>
          <c:order val="3"/>
          <c:tx>
            <c:v>C2H4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3E4-41E8-9D28-4AD36F375B08}"/>
            </c:ext>
          </c:extLst>
        </c:ser>
        <c:ser>
          <c:idx val="5"/>
          <c:order val="4"/>
          <c:tx>
            <c:v>C2H2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33E4-41E8-9D28-4AD36F375B08}"/>
            </c:ext>
          </c:extLst>
        </c:ser>
        <c:ser>
          <c:idx val="6"/>
          <c:order val="5"/>
          <c:tx>
            <c:v>PD</c:v>
          </c:tx>
          <c:spPr>
            <a:ln w="12700" cap="rnd">
              <a:solidFill>
                <a:srgbClr val="FF0000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5"/>
            <c:spPr>
              <a:noFill/>
              <a:ln w="9525"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xVal>
            <c:numRef>
              <c:f>Sheet2!$G$343:$G$347</c:f>
              <c:numCache>
                <c:formatCode>General</c:formatCode>
                <c:ptCount val="5"/>
                <c:pt idx="0">
                  <c:v>0</c:v>
                </c:pt>
                <c:pt idx="1">
                  <c:v>-1</c:v>
                </c:pt>
                <c:pt idx="2">
                  <c:v>-1</c:v>
                </c:pt>
                <c:pt idx="3">
                  <c:v>0</c:v>
                </c:pt>
              </c:numCache>
            </c:numRef>
          </c:xVal>
          <c:yVal>
            <c:numRef>
              <c:f>Sheet2!$H$343:$H$347</c:f>
              <c:numCache>
                <c:formatCode>General</c:formatCode>
                <c:ptCount val="5"/>
                <c:pt idx="0">
                  <c:v>33</c:v>
                </c:pt>
                <c:pt idx="1">
                  <c:v>33</c:v>
                </c:pt>
                <c:pt idx="2">
                  <c:v>24.5</c:v>
                </c:pt>
                <c:pt idx="3">
                  <c:v>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E4-41E8-9D28-4AD36F375B08}"/>
            </c:ext>
          </c:extLst>
        </c:ser>
        <c:ser>
          <c:idx val="7"/>
          <c:order val="6"/>
          <c:tx>
            <c:v>D1</c:v>
          </c:tx>
          <c:spPr>
            <a:ln w="12700" cap="rnd">
              <a:solidFill>
                <a:srgbClr val="0070C0"/>
              </a:solidFill>
              <a:round/>
            </a:ln>
            <a:effectLst>
              <a:glow>
                <a:schemeClr val="bg1">
                  <a:lumMod val="95000"/>
                </a:schemeClr>
              </a:glow>
              <a:softEdge rad="0"/>
            </a:effectLst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>
                <a:glow>
                  <a:schemeClr val="bg1">
                    <a:lumMod val="95000"/>
                  </a:schemeClr>
                </a:glow>
                <a:softEdge rad="0"/>
              </a:effectLst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3E4-41E8-9D28-4AD36F375B08}"/>
              </c:ext>
            </c:extLst>
          </c:dPt>
          <c:xVal>
            <c:numRef>
              <c:f>Sheet2!$G$348:$G$353</c:f>
              <c:numCache>
                <c:formatCode>General</c:formatCode>
                <c:ptCount val="6"/>
                <c:pt idx="0">
                  <c:v>0</c:v>
                </c:pt>
                <c:pt idx="1">
                  <c:v>38</c:v>
                </c:pt>
                <c:pt idx="2">
                  <c:v>32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Sheet2!$H$348:$H$353</c:f>
              <c:numCache>
                <c:formatCode>General</c:formatCode>
                <c:ptCount val="6"/>
                <c:pt idx="0">
                  <c:v>40</c:v>
                </c:pt>
                <c:pt idx="1">
                  <c:v>12</c:v>
                </c:pt>
                <c:pt idx="2">
                  <c:v>-6.1</c:v>
                </c:pt>
                <c:pt idx="3">
                  <c:v>16</c:v>
                </c:pt>
                <c:pt idx="4">
                  <c:v>1.5</c:v>
                </c:pt>
                <c:pt idx="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3E4-41E8-9D28-4AD36F375B08}"/>
            </c:ext>
          </c:extLst>
        </c:ser>
        <c:ser>
          <c:idx val="8"/>
          <c:order val="7"/>
          <c:tx>
            <c:v>D2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Sheet2!$G$354:$G$358</c:f>
              <c:numCache>
                <c:formatCode>General</c:formatCode>
                <c:ptCount val="5"/>
                <c:pt idx="0">
                  <c:v>4</c:v>
                </c:pt>
                <c:pt idx="1">
                  <c:v>32</c:v>
                </c:pt>
                <c:pt idx="2">
                  <c:v>24.3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Sheet2!$H$354:$H$358</c:f>
              <c:numCache>
                <c:formatCode>General</c:formatCode>
                <c:ptCount val="5"/>
                <c:pt idx="0">
                  <c:v>16</c:v>
                </c:pt>
                <c:pt idx="1">
                  <c:v>-6.1</c:v>
                </c:pt>
                <c:pt idx="2">
                  <c:v>-30</c:v>
                </c:pt>
                <c:pt idx="3">
                  <c:v>-3</c:v>
                </c:pt>
                <c:pt idx="4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3E4-41E8-9D28-4AD36F375B08}"/>
            </c:ext>
          </c:extLst>
        </c:ser>
        <c:ser>
          <c:idx val="9"/>
          <c:order val="8"/>
          <c:tx>
            <c:v>T3</c:v>
          </c:tx>
          <c:spPr>
            <a:ln w="127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7030A0"/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Sheet2!$G$359:$G$364</c:f>
              <c:numCache>
                <c:formatCode>General</c:formatCode>
                <c:ptCount val="6"/>
                <c:pt idx="0">
                  <c:v>0</c:v>
                </c:pt>
                <c:pt idx="1">
                  <c:v>24.3</c:v>
                </c:pt>
                <c:pt idx="2">
                  <c:v>23.5</c:v>
                </c:pt>
                <c:pt idx="3">
                  <c:v>1</c:v>
                </c:pt>
                <c:pt idx="4">
                  <c:v>-6</c:v>
                </c:pt>
                <c:pt idx="5">
                  <c:v>0</c:v>
                </c:pt>
              </c:numCache>
            </c:numRef>
          </c:xVal>
          <c:yVal>
            <c:numRef>
              <c:f>Sheet2!$H$359:$H$364</c:f>
              <c:numCache>
                <c:formatCode>General</c:formatCode>
                <c:ptCount val="6"/>
                <c:pt idx="0">
                  <c:v>-3</c:v>
                </c:pt>
                <c:pt idx="1">
                  <c:v>-30</c:v>
                </c:pt>
                <c:pt idx="2">
                  <c:v>-32.4</c:v>
                </c:pt>
                <c:pt idx="3">
                  <c:v>-32.4</c:v>
                </c:pt>
                <c:pt idx="4">
                  <c:v>-4</c:v>
                </c:pt>
                <c:pt idx="5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3E4-41E8-9D28-4AD36F375B08}"/>
            </c:ext>
          </c:extLst>
        </c:ser>
        <c:ser>
          <c:idx val="10"/>
          <c:order val="9"/>
          <c:tx>
            <c:v>T2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Sheet2!$J$343:$J$345</c:f>
              <c:numCache>
                <c:formatCode>General</c:formatCode>
                <c:ptCount val="3"/>
                <c:pt idx="0">
                  <c:v>-6</c:v>
                </c:pt>
                <c:pt idx="1">
                  <c:v>1</c:v>
                </c:pt>
                <c:pt idx="2">
                  <c:v>-22.5</c:v>
                </c:pt>
              </c:numCache>
            </c:numRef>
          </c:xVal>
          <c:yVal>
            <c:numRef>
              <c:f>Sheet2!$K$343:$K$345</c:f>
              <c:numCache>
                <c:formatCode>General</c:formatCode>
                <c:ptCount val="3"/>
                <c:pt idx="0">
                  <c:v>-4</c:v>
                </c:pt>
                <c:pt idx="1">
                  <c:v>-32.4</c:v>
                </c:pt>
                <c:pt idx="2">
                  <c:v>-32.4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3E4-41E8-9D28-4AD36F375B08}"/>
            </c:ext>
          </c:extLst>
        </c:ser>
        <c:ser>
          <c:idx val="11"/>
          <c:order val="10"/>
          <c:tx>
            <c:v>T1</c:v>
          </c:tx>
          <c:spPr>
            <a:ln w="1270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Sheet2!$J$346:$J$350</c:f>
              <c:numCache>
                <c:formatCode>General</c:formatCode>
                <c:ptCount val="5"/>
                <c:pt idx="0">
                  <c:v>-6</c:v>
                </c:pt>
                <c:pt idx="1">
                  <c:v>-22.5</c:v>
                </c:pt>
                <c:pt idx="2">
                  <c:v>-23.5</c:v>
                </c:pt>
                <c:pt idx="3">
                  <c:v>-35</c:v>
                </c:pt>
                <c:pt idx="4">
                  <c:v>0</c:v>
                </c:pt>
              </c:numCache>
            </c:numRef>
          </c:xVal>
          <c:yVal>
            <c:numRef>
              <c:f>Sheet2!$K$346:$K$350</c:f>
              <c:numCache>
                <c:formatCode>General</c:formatCode>
                <c:ptCount val="5"/>
                <c:pt idx="0">
                  <c:v>-4</c:v>
                </c:pt>
                <c:pt idx="1">
                  <c:v>-32.4</c:v>
                </c:pt>
                <c:pt idx="2">
                  <c:v>-32.4</c:v>
                </c:pt>
                <c:pt idx="3">
                  <c:v>3</c:v>
                </c:pt>
                <c:pt idx="4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3E4-41E8-9D28-4AD36F375B08}"/>
            </c:ext>
          </c:extLst>
        </c:ser>
        <c:ser>
          <c:idx val="12"/>
          <c:order val="11"/>
          <c:tx>
            <c:v>Centroid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>
                  <a:alpha val="99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Sheet2!$B$340</c:f>
              <c:numCache>
                <c:formatCode>0.0</c:formatCode>
                <c:ptCount val="1"/>
                <c:pt idx="0">
                  <c:v>-3.0883239374411211</c:v>
                </c:pt>
              </c:numCache>
            </c:numRef>
          </c:xVal>
          <c:yVal>
            <c:numRef>
              <c:f>Sheet2!$C$340</c:f>
              <c:numCache>
                <c:formatCode>0.0</c:formatCode>
                <c:ptCount val="1"/>
                <c:pt idx="0">
                  <c:v>-18.043089138830524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3E4-41E8-9D28-4AD36F375B08}"/>
            </c:ext>
          </c:extLst>
        </c:ser>
        <c:ser>
          <c:idx val="13"/>
          <c:order val="12"/>
          <c:tx>
            <c:v>S</c:v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Sheet2!$J$352:$J$359</c:f>
              <c:numCache>
                <c:formatCode>General</c:formatCode>
                <c:ptCount val="8"/>
                <c:pt idx="0">
                  <c:v>0</c:v>
                </c:pt>
                <c:pt idx="1">
                  <c:v>-35</c:v>
                </c:pt>
                <c:pt idx="2">
                  <c:v>-38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-1</c:v>
                </c:pt>
                <c:pt idx="7">
                  <c:v>0</c:v>
                </c:pt>
              </c:numCache>
            </c:numRef>
          </c:xVal>
          <c:yVal>
            <c:numRef>
              <c:f>Sheet2!$K$352:$K$359</c:f>
              <c:numCache>
                <c:formatCode>General</c:formatCode>
                <c:ptCount val="8"/>
                <c:pt idx="0">
                  <c:v>1.5</c:v>
                </c:pt>
                <c:pt idx="1">
                  <c:v>3.1</c:v>
                </c:pt>
                <c:pt idx="2">
                  <c:v>12.4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24.5</c:v>
                </c:pt>
                <c:pt idx="7">
                  <c:v>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3E4-41E8-9D28-4AD36F375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133743"/>
        <c:axId val="1"/>
      </c:scatterChart>
      <c:valAx>
        <c:axId val="64513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33743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526859142607174"/>
                  <c:y val="2.7683727034120736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Sheet2!$T$331:$U$331</c:f>
              <c:numCache>
                <c:formatCode>General</c:formatCode>
                <c:ptCount val="2"/>
                <c:pt idx="0">
                  <c:v>-6</c:v>
                </c:pt>
                <c:pt idx="1">
                  <c:v>1</c:v>
                </c:pt>
              </c:numCache>
            </c:numRef>
          </c:xVal>
          <c:yVal>
            <c:numRef>
              <c:f>Sheet2!$T$332:$U$332</c:f>
              <c:numCache>
                <c:formatCode>General</c:formatCode>
                <c:ptCount val="2"/>
                <c:pt idx="0">
                  <c:v>-4</c:v>
                </c:pt>
                <c:pt idx="1">
                  <c:v>-32.4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CF-4DA5-B7A3-64714A66E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143311"/>
        <c:axId val="1"/>
      </c:scatterChart>
      <c:valAx>
        <c:axId val="6451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43311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989063408779203E-3"/>
          <c:y val="1.1961736460984763E-2"/>
          <c:w val="0.9857835113415645"/>
          <c:h val="0.97847004250855374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Sheet4!$A$3</c:f>
              <c:strCache>
                <c:ptCount val="1"/>
                <c:pt idx="0">
                  <c:v>triangle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Sheet4!$A$4:$A$7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</c:numCache>
            </c:numRef>
          </c:xVal>
          <c:yVal>
            <c:numRef>
              <c:f>Sheet4!$B$4:$B$7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0.86602500000000004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3D-40A7-8D04-BDE85A7AC386}"/>
            </c:ext>
          </c:extLst>
        </c:ser>
        <c:ser>
          <c:idx val="5"/>
          <c:order val="1"/>
          <c:tx>
            <c:strRef>
              <c:f>Sheet4!$A$9</c:f>
              <c:strCache>
                <c:ptCount val="1"/>
                <c:pt idx="0">
                  <c:v>Serie 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noFill/>
              <a:ln w="9525">
                <a:noFill/>
              </a:ln>
            </c:spPr>
          </c:marker>
          <c:xVal>
            <c:numRef>
              <c:f>Sheet4!$B$9:$B$10</c:f>
              <c:numCache>
                <c:formatCode>General</c:formatCode>
                <c:ptCount val="2"/>
                <c:pt idx="0">
                  <c:v>0.23</c:v>
                </c:pt>
                <c:pt idx="1">
                  <c:v>0.61499999999999999</c:v>
                </c:pt>
              </c:numCache>
            </c:numRef>
          </c:xVal>
          <c:yVal>
            <c:numRef>
              <c:f>Sheet4!$C$9:$C$10</c:f>
              <c:numCache>
                <c:formatCode>General</c:formatCode>
                <c:ptCount val="2"/>
                <c:pt idx="0">
                  <c:v>0</c:v>
                </c:pt>
                <c:pt idx="1">
                  <c:v>0.66700000000000004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3D-40A7-8D04-BDE85A7AC386}"/>
            </c:ext>
          </c:extLst>
        </c:ser>
        <c:ser>
          <c:idx val="7"/>
          <c:order val="2"/>
          <c:tx>
            <c:strRef>
              <c:f>Sheet4!$A$22</c:f>
              <c:strCache>
                <c:ptCount val="1"/>
                <c:pt idx="0">
                  <c:v>Serie 2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ot"/>
            <c:size val="5"/>
            <c:spPr>
              <a:noFill/>
              <a:ln w="9525">
                <a:noFill/>
              </a:ln>
            </c:spPr>
          </c:marker>
          <c:xVal>
            <c:numRef>
              <c:f>Sheet4!$B$22:$B$23</c:f>
              <c:numCache>
                <c:formatCode>General</c:formatCode>
                <c:ptCount val="2"/>
                <c:pt idx="0">
                  <c:v>7.0000000000000007E-2</c:v>
                </c:pt>
                <c:pt idx="1">
                  <c:v>0.155</c:v>
                </c:pt>
              </c:numCache>
            </c:numRef>
          </c:xVal>
          <c:yVal>
            <c:numRef>
              <c:f>Sheet4!$C$22:$C$23</c:f>
              <c:numCache>
                <c:formatCode>General</c:formatCode>
                <c:ptCount val="2"/>
                <c:pt idx="0">
                  <c:v>1.7000000000000001E-2</c:v>
                </c:pt>
                <c:pt idx="1">
                  <c:v>0.1615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3D-40A7-8D04-BDE85A7AC386}"/>
            </c:ext>
          </c:extLst>
        </c:ser>
        <c:ser>
          <c:idx val="6"/>
          <c:order val="3"/>
          <c:tx>
            <c:strRef>
              <c:f>Sheet4!$A$25</c:f>
              <c:strCache>
                <c:ptCount val="1"/>
                <c:pt idx="0">
                  <c:v>Serie 3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noFill/>
              <a:ln w="9525">
                <a:noFill/>
              </a:ln>
            </c:spPr>
          </c:marker>
          <c:xVal>
            <c:numRef>
              <c:f>Sheet4!$B$25:$B$26</c:f>
              <c:numCache>
                <c:formatCode>General</c:formatCode>
                <c:ptCount val="2"/>
                <c:pt idx="0">
                  <c:v>0.67500000000000004</c:v>
                </c:pt>
                <c:pt idx="1">
                  <c:v>0.75</c:v>
                </c:pt>
              </c:numCache>
            </c:numRef>
          </c:xVal>
          <c:yVal>
            <c:numRef>
              <c:f>Sheet4!$C$25:$C$26</c:f>
              <c:numCache>
                <c:formatCode>General</c:formatCode>
                <c:ptCount val="2"/>
                <c:pt idx="0">
                  <c:v>0.30299999999999999</c:v>
                </c:pt>
                <c:pt idx="1">
                  <c:v>0.433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3D-40A7-8D04-BDE85A7AC386}"/>
            </c:ext>
          </c:extLst>
        </c:ser>
        <c:ser>
          <c:idx val="8"/>
          <c:order val="4"/>
          <c:tx>
            <c:strRef>
              <c:f>Sheet4!$E$9</c:f>
              <c:strCache>
                <c:ptCount val="1"/>
                <c:pt idx="0">
                  <c:v>Serie 4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ash"/>
            <c:size val="5"/>
            <c:spPr>
              <a:noFill/>
              <a:ln w="9525">
                <a:noFill/>
              </a:ln>
            </c:spPr>
          </c:marker>
          <c:xVal>
            <c:numRef>
              <c:f>Sheet4!$F$9:$F$10</c:f>
              <c:numCache>
                <c:formatCode>General</c:formatCode>
                <c:ptCount val="2"/>
                <c:pt idx="0">
                  <c:v>7.0000000000000007E-2</c:v>
                </c:pt>
                <c:pt idx="1">
                  <c:v>0.24</c:v>
                </c:pt>
              </c:numCache>
            </c:numRef>
          </c:xVal>
          <c:yVal>
            <c:numRef>
              <c:f>Sheet4!$G$9:$G$10</c:f>
              <c:numCache>
                <c:formatCode>General</c:formatCode>
                <c:ptCount val="2"/>
                <c:pt idx="0">
                  <c:v>1.7299999999999999E-2</c:v>
                </c:pt>
                <c:pt idx="1">
                  <c:v>1.7299999999999999E-2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3D-40A7-8D04-BDE85A7AC386}"/>
            </c:ext>
          </c:extLst>
        </c:ser>
        <c:ser>
          <c:idx val="9"/>
          <c:order val="5"/>
          <c:tx>
            <c:strRef>
              <c:f>Sheet4!$E$22</c:f>
              <c:strCache>
                <c:ptCount val="1"/>
                <c:pt idx="0">
                  <c:v>Serie 5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noFill/>
              <a:ln w="9525">
                <a:noFill/>
              </a:ln>
            </c:spPr>
          </c:marker>
          <c:xVal>
            <c:numRef>
              <c:f>Sheet4!$F$22:$F$23</c:f>
              <c:numCache>
                <c:formatCode>General</c:formatCode>
                <c:ptCount val="2"/>
                <c:pt idx="0">
                  <c:v>9.5000000000000001E-2</c:v>
                </c:pt>
                <c:pt idx="1">
                  <c:v>0.32500000000000001</c:v>
                </c:pt>
              </c:numCache>
            </c:numRef>
          </c:xVal>
          <c:yVal>
            <c:numRef>
              <c:f>Sheet4!$G$22:$G$23</c:f>
              <c:numCache>
                <c:formatCode>General</c:formatCode>
                <c:ptCount val="2"/>
                <c:pt idx="0">
                  <c:v>0.1615</c:v>
                </c:pt>
                <c:pt idx="1">
                  <c:v>0.1615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3D-40A7-8D04-BDE85A7AC386}"/>
            </c:ext>
          </c:extLst>
        </c:ser>
        <c:ser>
          <c:idx val="10"/>
          <c:order val="6"/>
          <c:tx>
            <c:strRef>
              <c:f>Sheet4!$E$25</c:f>
              <c:strCache>
                <c:ptCount val="1"/>
                <c:pt idx="0">
                  <c:v>Serie 6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noFill/>
              <a:ln w="9525">
                <a:noFill/>
              </a:ln>
            </c:spPr>
          </c:marker>
          <c:xVal>
            <c:numRef>
              <c:f>Sheet4!$F$25:$F$26</c:f>
              <c:numCache>
                <c:formatCode>General</c:formatCode>
                <c:ptCount val="2"/>
                <c:pt idx="0">
                  <c:v>0.85</c:v>
                </c:pt>
                <c:pt idx="1">
                  <c:v>0.54</c:v>
                </c:pt>
              </c:numCache>
            </c:numRef>
          </c:xVal>
          <c:yVal>
            <c:numRef>
              <c:f>Sheet4!$G$25:$G$26</c:f>
              <c:numCache>
                <c:formatCode>General</c:formatCode>
                <c:ptCount val="2"/>
                <c:pt idx="0">
                  <c:v>0</c:v>
                </c:pt>
                <c:pt idx="1">
                  <c:v>0.53700000000000003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F3D-40A7-8D04-BDE85A7AC386}"/>
            </c:ext>
          </c:extLst>
        </c:ser>
        <c:ser>
          <c:idx val="13"/>
          <c:order val="7"/>
          <c:tx>
            <c:strRef>
              <c:f>Sheet4!$D$3</c:f>
              <c:strCache>
                <c:ptCount val="1"/>
                <c:pt idx="0">
                  <c:v>Plot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Sheet4!$E$3</c:f>
              <c:numCache>
                <c:formatCode>General</c:formatCode>
                <c:ptCount val="1"/>
                <c:pt idx="0">
                  <c:v>0.3611111111111111</c:v>
                </c:pt>
              </c:numCache>
            </c:numRef>
          </c:xVal>
          <c:yVal>
            <c:numRef>
              <c:f>Sheet4!$F$3</c:f>
              <c:numCache>
                <c:formatCode>General</c:formatCode>
                <c:ptCount val="1"/>
                <c:pt idx="0">
                  <c:v>0.14433750000000001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F3D-40A7-8D04-BDE85A7AC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132911"/>
        <c:axId val="1"/>
      </c:scatterChart>
      <c:valAx>
        <c:axId val="645132911"/>
        <c:scaling>
          <c:orientation val="minMax"/>
          <c:max val="1.1000000000000001"/>
          <c:min val="-0.1"/>
        </c:scaling>
        <c:delete val="1"/>
        <c:axPos val="b"/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  <c:majorUnit val="0.1"/>
      </c:valAx>
      <c:valAx>
        <c:axId val="1"/>
        <c:scaling>
          <c:orientation val="minMax"/>
          <c:max val="0.95"/>
          <c:min val="-0.1"/>
        </c:scaling>
        <c:delete val="1"/>
        <c:axPos val="l"/>
        <c:numFmt formatCode="General" sourceLinked="1"/>
        <c:majorTickMark val="out"/>
        <c:minorTickMark val="none"/>
        <c:tickLblPos val="nextTo"/>
        <c:crossAx val="645132911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portrait" horizontalDpi="300" verticalDpi="30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3.png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chart" Target="../charts/chart11.xml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44</xdr:row>
      <xdr:rowOff>19050</xdr:rowOff>
    </xdr:from>
    <xdr:to>
      <xdr:col>12</xdr:col>
      <xdr:colOff>28575</xdr:colOff>
      <xdr:row>66</xdr:row>
      <xdr:rowOff>57150</xdr:rowOff>
    </xdr:to>
    <xdr:graphicFrame macro="">
      <xdr:nvGraphicFramePr>
        <xdr:cNvPr id="2668261" name="Chart 2">
          <a:extLst>
            <a:ext uri="{FF2B5EF4-FFF2-40B4-BE49-F238E27FC236}">
              <a16:creationId xmlns:a16="http://schemas.microsoft.com/office/drawing/2014/main" id="{8159DD9B-5ABD-47E3-827E-D926E49EF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47</xdr:row>
      <xdr:rowOff>104775</xdr:rowOff>
    </xdr:from>
    <xdr:to>
      <xdr:col>7</xdr:col>
      <xdr:colOff>38100</xdr:colOff>
      <xdr:row>48</xdr:row>
      <xdr:rowOff>142875</xdr:rowOff>
    </xdr:to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818CA25F-A14F-4A33-B503-024F3D8618A3}"/>
            </a:ext>
          </a:extLst>
        </xdr:cNvPr>
        <xdr:cNvSpPr txBox="1">
          <a:spLocks noChangeArrowheads="1"/>
        </xdr:cNvSpPr>
      </xdr:nvSpPr>
      <xdr:spPr bwMode="auto">
        <a:xfrm>
          <a:off x="4905375" y="8772525"/>
          <a:ext cx="285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T1</a:t>
          </a:r>
        </a:p>
      </xdr:txBody>
    </xdr:sp>
    <xdr:clientData/>
  </xdr:twoCellAnchor>
  <xdr:twoCellAnchor>
    <xdr:from>
      <xdr:col>11</xdr:col>
      <xdr:colOff>104775</xdr:colOff>
      <xdr:row>64</xdr:row>
      <xdr:rowOff>76200</xdr:rowOff>
    </xdr:from>
    <xdr:to>
      <xdr:col>11</xdr:col>
      <xdr:colOff>390525</xdr:colOff>
      <xdr:row>65</xdr:row>
      <xdr:rowOff>114300</xdr:rowOff>
    </xdr:to>
    <xdr:sp macro="" textlink="">
      <xdr:nvSpPr>
        <xdr:cNvPr id="1037" name="Text Box 13">
          <a:extLst>
            <a:ext uri="{FF2B5EF4-FFF2-40B4-BE49-F238E27FC236}">
              <a16:creationId xmlns:a16="http://schemas.microsoft.com/office/drawing/2014/main" id="{21A273FA-BAC8-46D9-AA7F-B55E730B73CD}"/>
            </a:ext>
          </a:extLst>
        </xdr:cNvPr>
        <xdr:cNvSpPr txBox="1">
          <a:spLocks noChangeArrowheads="1"/>
        </xdr:cNvSpPr>
      </xdr:nvSpPr>
      <xdr:spPr bwMode="auto">
        <a:xfrm>
          <a:off x="7048500" y="11534775"/>
          <a:ext cx="285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0</a:t>
          </a:r>
        </a:p>
      </xdr:txBody>
    </xdr:sp>
    <xdr:clientData/>
  </xdr:twoCellAnchor>
  <xdr:twoCellAnchor>
    <xdr:from>
      <xdr:col>1</xdr:col>
      <xdr:colOff>19050</xdr:colOff>
      <xdr:row>62</xdr:row>
      <xdr:rowOff>76200</xdr:rowOff>
    </xdr:from>
    <xdr:to>
      <xdr:col>1</xdr:col>
      <xdr:colOff>285750</xdr:colOff>
      <xdr:row>63</xdr:row>
      <xdr:rowOff>133350</xdr:rowOff>
    </xdr:to>
    <xdr:sp macro="" textlink="">
      <xdr:nvSpPr>
        <xdr:cNvPr id="1029" name="Text Box 14">
          <a:extLst>
            <a:ext uri="{FF2B5EF4-FFF2-40B4-BE49-F238E27FC236}">
              <a16:creationId xmlns:a16="http://schemas.microsoft.com/office/drawing/2014/main" id="{468273AD-9063-4094-A6BC-D8E9B107EA93}"/>
            </a:ext>
          </a:extLst>
        </xdr:cNvPr>
        <xdr:cNvSpPr txBox="1">
          <a:spLocks noChangeArrowheads="1"/>
        </xdr:cNvSpPr>
      </xdr:nvSpPr>
      <xdr:spPr bwMode="auto">
        <a:xfrm>
          <a:off x="628650" y="14439900"/>
          <a:ext cx="2667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5</xdr:col>
      <xdr:colOff>571500</xdr:colOff>
      <xdr:row>46</xdr:row>
      <xdr:rowOff>95250</xdr:rowOff>
    </xdr:from>
    <xdr:to>
      <xdr:col>5</xdr:col>
      <xdr:colOff>819150</xdr:colOff>
      <xdr:row>47</xdr:row>
      <xdr:rowOff>133350</xdr:rowOff>
    </xdr:to>
    <xdr:sp macro="" textlink="">
      <xdr:nvSpPr>
        <xdr:cNvPr id="1030" name="Text Box 15">
          <a:extLst>
            <a:ext uri="{FF2B5EF4-FFF2-40B4-BE49-F238E27FC236}">
              <a16:creationId xmlns:a16="http://schemas.microsoft.com/office/drawing/2014/main" id="{9D42E31E-163F-4D2D-B0B9-C4A2F0320FEA}"/>
            </a:ext>
          </a:extLst>
        </xdr:cNvPr>
        <xdr:cNvSpPr txBox="1">
          <a:spLocks noChangeArrowheads="1"/>
        </xdr:cNvSpPr>
      </xdr:nvSpPr>
      <xdr:spPr bwMode="auto">
        <a:xfrm>
          <a:off x="3619500" y="10496550"/>
          <a:ext cx="24765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100</a:t>
          </a:r>
        </a:p>
      </xdr:txBody>
    </xdr:sp>
    <xdr:clientData/>
  </xdr:twoCellAnchor>
  <xdr:twoCellAnchor>
    <xdr:from>
      <xdr:col>0</xdr:col>
      <xdr:colOff>581025</xdr:colOff>
      <xdr:row>64</xdr:row>
      <xdr:rowOff>76200</xdr:rowOff>
    </xdr:from>
    <xdr:to>
      <xdr:col>1</xdr:col>
      <xdr:colOff>342900</xdr:colOff>
      <xdr:row>65</xdr:row>
      <xdr:rowOff>114300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866C9977-8F9A-45DB-85A5-84B3ECC7D63F}"/>
            </a:ext>
          </a:extLst>
        </xdr:cNvPr>
        <xdr:cNvSpPr txBox="1">
          <a:spLocks noChangeArrowheads="1"/>
        </xdr:cNvSpPr>
      </xdr:nvSpPr>
      <xdr:spPr bwMode="auto">
        <a:xfrm>
          <a:off x="1066800" y="11496675"/>
          <a:ext cx="285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100</a:t>
          </a:r>
        </a:p>
      </xdr:txBody>
    </xdr:sp>
    <xdr:clientData/>
  </xdr:twoCellAnchor>
  <xdr:twoCellAnchor>
    <xdr:from>
      <xdr:col>11</xdr:col>
      <xdr:colOff>66675</xdr:colOff>
      <xdr:row>62</xdr:row>
      <xdr:rowOff>57150</xdr:rowOff>
    </xdr:from>
    <xdr:to>
      <xdr:col>11</xdr:col>
      <xdr:colOff>352425</xdr:colOff>
      <xdr:row>63</xdr:row>
      <xdr:rowOff>95250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51232FDD-BD2E-4C48-987D-BAF7416BF177}"/>
            </a:ext>
          </a:extLst>
        </xdr:cNvPr>
        <xdr:cNvSpPr txBox="1">
          <a:spLocks noChangeArrowheads="1"/>
        </xdr:cNvSpPr>
      </xdr:nvSpPr>
      <xdr:spPr bwMode="auto">
        <a:xfrm>
          <a:off x="7115175" y="11229975"/>
          <a:ext cx="285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100</a:t>
          </a:r>
        </a:p>
      </xdr:txBody>
    </xdr:sp>
    <xdr:clientData/>
  </xdr:twoCellAnchor>
  <xdr:twoCellAnchor>
    <xdr:from>
      <xdr:col>5</xdr:col>
      <xdr:colOff>1371600</xdr:colOff>
      <xdr:row>46</xdr:row>
      <xdr:rowOff>38100</xdr:rowOff>
    </xdr:from>
    <xdr:to>
      <xdr:col>6</xdr:col>
      <xdr:colOff>180975</xdr:colOff>
      <xdr:row>47</xdr:row>
      <xdr:rowOff>76200</xdr:rowOff>
    </xdr:to>
    <xdr:sp macro="" textlink="">
      <xdr:nvSpPr>
        <xdr:cNvPr id="1042" name="Text Box 18">
          <a:extLst>
            <a:ext uri="{FF2B5EF4-FFF2-40B4-BE49-F238E27FC236}">
              <a16:creationId xmlns:a16="http://schemas.microsoft.com/office/drawing/2014/main" id="{13D05586-DAE6-4C06-9185-F63A75FA9550}"/>
            </a:ext>
          </a:extLst>
        </xdr:cNvPr>
        <xdr:cNvSpPr txBox="1">
          <a:spLocks noChangeArrowheads="1"/>
        </xdr:cNvSpPr>
      </xdr:nvSpPr>
      <xdr:spPr bwMode="auto">
        <a:xfrm>
          <a:off x="4638675" y="8639175"/>
          <a:ext cx="285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0</a:t>
          </a:r>
        </a:p>
      </xdr:txBody>
    </xdr:sp>
    <xdr:clientData/>
  </xdr:twoCellAnchor>
  <xdr:twoCellAnchor>
    <xdr:from>
      <xdr:col>5</xdr:col>
      <xdr:colOff>971550</xdr:colOff>
      <xdr:row>45</xdr:row>
      <xdr:rowOff>38100</xdr:rowOff>
    </xdr:from>
    <xdr:to>
      <xdr:col>5</xdr:col>
      <xdr:colOff>1285875</xdr:colOff>
      <xdr:row>46</xdr:row>
      <xdr:rowOff>19050</xdr:rowOff>
    </xdr:to>
    <xdr:sp macro="" textlink="">
      <xdr:nvSpPr>
        <xdr:cNvPr id="2" name="Text Box 19">
          <a:extLst>
            <a:ext uri="{FF2B5EF4-FFF2-40B4-BE49-F238E27FC236}">
              <a16:creationId xmlns:a16="http://schemas.microsoft.com/office/drawing/2014/main" id="{71210118-547C-4698-8B4D-B38D7C09AF3C}"/>
            </a:ext>
          </a:extLst>
        </xdr:cNvPr>
        <xdr:cNvSpPr txBox="1">
          <a:spLocks noChangeArrowheads="1"/>
        </xdr:cNvSpPr>
      </xdr:nvSpPr>
      <xdr:spPr bwMode="auto">
        <a:xfrm>
          <a:off x="4019550" y="10191750"/>
          <a:ext cx="3143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PD</a:t>
          </a:r>
        </a:p>
      </xdr:txBody>
    </xdr:sp>
    <xdr:clientData/>
  </xdr:twoCellAnchor>
  <xdr:twoCellAnchor>
    <xdr:from>
      <xdr:col>7</xdr:col>
      <xdr:colOff>561975</xdr:colOff>
      <xdr:row>51</xdr:row>
      <xdr:rowOff>76200</xdr:rowOff>
    </xdr:from>
    <xdr:to>
      <xdr:col>8</xdr:col>
      <xdr:colOff>171450</xdr:colOff>
      <xdr:row>52</xdr:row>
      <xdr:rowOff>114300</xdr:rowOff>
    </xdr:to>
    <xdr:sp macro="" textlink="">
      <xdr:nvSpPr>
        <xdr:cNvPr id="1044" name="Text Box 20">
          <a:extLst>
            <a:ext uri="{FF2B5EF4-FFF2-40B4-BE49-F238E27FC236}">
              <a16:creationId xmlns:a16="http://schemas.microsoft.com/office/drawing/2014/main" id="{7AE9067D-5F11-49A8-A007-EF19ACFD5B55}"/>
            </a:ext>
          </a:extLst>
        </xdr:cNvPr>
        <xdr:cNvSpPr txBox="1">
          <a:spLocks noChangeArrowheads="1"/>
        </xdr:cNvSpPr>
      </xdr:nvSpPr>
      <xdr:spPr bwMode="auto">
        <a:xfrm>
          <a:off x="5267325" y="9296400"/>
          <a:ext cx="285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T2</a:t>
          </a:r>
        </a:p>
      </xdr:txBody>
    </xdr:sp>
    <xdr:clientData/>
  </xdr:twoCellAnchor>
  <xdr:twoCellAnchor>
    <xdr:from>
      <xdr:col>8</xdr:col>
      <xdr:colOff>228600</xdr:colOff>
      <xdr:row>58</xdr:row>
      <xdr:rowOff>171450</xdr:rowOff>
    </xdr:from>
    <xdr:to>
      <xdr:col>8</xdr:col>
      <xdr:colOff>514350</xdr:colOff>
      <xdr:row>59</xdr:row>
      <xdr:rowOff>209550</xdr:rowOff>
    </xdr:to>
    <xdr:sp macro="" textlink="">
      <xdr:nvSpPr>
        <xdr:cNvPr id="1045" name="Text Box 21">
          <a:extLst>
            <a:ext uri="{FF2B5EF4-FFF2-40B4-BE49-F238E27FC236}">
              <a16:creationId xmlns:a16="http://schemas.microsoft.com/office/drawing/2014/main" id="{8A0494B2-5ABB-4642-B76E-EECADECD9344}"/>
            </a:ext>
          </a:extLst>
        </xdr:cNvPr>
        <xdr:cNvSpPr txBox="1">
          <a:spLocks noChangeArrowheads="1"/>
        </xdr:cNvSpPr>
      </xdr:nvSpPr>
      <xdr:spPr bwMode="auto">
        <a:xfrm>
          <a:off x="5867400" y="10658475"/>
          <a:ext cx="285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T3</a:t>
          </a:r>
        </a:p>
      </xdr:txBody>
    </xdr:sp>
    <xdr:clientData/>
  </xdr:twoCellAnchor>
  <xdr:twoCellAnchor>
    <xdr:from>
      <xdr:col>7</xdr:col>
      <xdr:colOff>0</xdr:colOff>
      <xdr:row>58</xdr:row>
      <xdr:rowOff>152400</xdr:rowOff>
    </xdr:from>
    <xdr:to>
      <xdr:col>7</xdr:col>
      <xdr:colOff>0</xdr:colOff>
      <xdr:row>60</xdr:row>
      <xdr:rowOff>28575</xdr:rowOff>
    </xdr:to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A4A927B6-3DD3-4332-B7B9-C601829D760E}"/>
            </a:ext>
          </a:extLst>
        </xdr:cNvPr>
        <xdr:cNvSpPr txBox="1">
          <a:spLocks noChangeArrowheads="1"/>
        </xdr:cNvSpPr>
      </xdr:nvSpPr>
      <xdr:spPr bwMode="auto">
        <a:xfrm>
          <a:off x="5200650" y="10734675"/>
          <a:ext cx="285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D-T</a:t>
          </a:r>
        </a:p>
      </xdr:txBody>
    </xdr:sp>
    <xdr:clientData/>
  </xdr:twoCellAnchor>
  <xdr:twoCellAnchor>
    <xdr:from>
      <xdr:col>4</xdr:col>
      <xdr:colOff>514350</xdr:colOff>
      <xdr:row>56</xdr:row>
      <xdr:rowOff>114300</xdr:rowOff>
    </xdr:from>
    <xdr:to>
      <xdr:col>5</xdr:col>
      <xdr:colOff>190500</xdr:colOff>
      <xdr:row>57</xdr:row>
      <xdr:rowOff>152400</xdr:rowOff>
    </xdr:to>
    <xdr:sp macro="" textlink="">
      <xdr:nvSpPr>
        <xdr:cNvPr id="1047" name="Text Box 23">
          <a:extLst>
            <a:ext uri="{FF2B5EF4-FFF2-40B4-BE49-F238E27FC236}">
              <a16:creationId xmlns:a16="http://schemas.microsoft.com/office/drawing/2014/main" id="{71A67D6E-A45C-4E0A-B90B-31642C6A2B9C}"/>
            </a:ext>
          </a:extLst>
        </xdr:cNvPr>
        <xdr:cNvSpPr txBox="1">
          <a:spLocks noChangeArrowheads="1"/>
        </xdr:cNvSpPr>
      </xdr:nvSpPr>
      <xdr:spPr bwMode="auto">
        <a:xfrm>
          <a:off x="2524125" y="10753725"/>
          <a:ext cx="285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D1</a:t>
          </a:r>
        </a:p>
      </xdr:txBody>
    </xdr:sp>
    <xdr:clientData/>
  </xdr:twoCellAnchor>
  <xdr:twoCellAnchor>
    <xdr:from>
      <xdr:col>5</xdr:col>
      <xdr:colOff>866775</xdr:colOff>
      <xdr:row>59</xdr:row>
      <xdr:rowOff>47625</xdr:rowOff>
    </xdr:from>
    <xdr:to>
      <xdr:col>5</xdr:col>
      <xdr:colOff>1143000</xdr:colOff>
      <xdr:row>60</xdr:row>
      <xdr:rowOff>104775</xdr:rowOff>
    </xdr:to>
    <xdr:sp macro="" textlink="">
      <xdr:nvSpPr>
        <xdr:cNvPr id="1039" name="Text Box 24">
          <a:extLst>
            <a:ext uri="{FF2B5EF4-FFF2-40B4-BE49-F238E27FC236}">
              <a16:creationId xmlns:a16="http://schemas.microsoft.com/office/drawing/2014/main" id="{C9F2A191-F35F-4686-AE99-F3107ECBF010}"/>
            </a:ext>
          </a:extLst>
        </xdr:cNvPr>
        <xdr:cNvSpPr txBox="1">
          <a:spLocks noChangeArrowheads="1"/>
        </xdr:cNvSpPr>
      </xdr:nvSpPr>
      <xdr:spPr bwMode="auto">
        <a:xfrm>
          <a:off x="3914775" y="13668375"/>
          <a:ext cx="2762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D2</a:t>
          </a:r>
        </a:p>
      </xdr:txBody>
    </xdr:sp>
    <xdr:clientData/>
  </xdr:twoCellAnchor>
  <xdr:twoCellAnchor>
    <xdr:from>
      <xdr:col>3</xdr:col>
      <xdr:colOff>219075</xdr:colOff>
      <xdr:row>54</xdr:row>
      <xdr:rowOff>76200</xdr:rowOff>
    </xdr:from>
    <xdr:to>
      <xdr:col>3</xdr:col>
      <xdr:colOff>466725</xdr:colOff>
      <xdr:row>55</xdr:row>
      <xdr:rowOff>161925</xdr:rowOff>
    </xdr:to>
    <xdr:sp macro="" textlink="">
      <xdr:nvSpPr>
        <xdr:cNvPr id="2668275" name="Line 25">
          <a:extLst>
            <a:ext uri="{FF2B5EF4-FFF2-40B4-BE49-F238E27FC236}">
              <a16:creationId xmlns:a16="http://schemas.microsoft.com/office/drawing/2014/main" id="{04E81A70-8EE6-4FB5-AED4-C40889923CA7}"/>
            </a:ext>
          </a:extLst>
        </xdr:cNvPr>
        <xdr:cNvSpPr>
          <a:spLocks noChangeShapeType="1"/>
        </xdr:cNvSpPr>
      </xdr:nvSpPr>
      <xdr:spPr bwMode="auto">
        <a:xfrm flipV="1">
          <a:off x="2047875" y="13449300"/>
          <a:ext cx="2476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142875</xdr:colOff>
      <xdr:row>52</xdr:row>
      <xdr:rowOff>66675</xdr:rowOff>
    </xdr:from>
    <xdr:to>
      <xdr:col>7</xdr:col>
      <xdr:colOff>476250</xdr:colOff>
      <xdr:row>52</xdr:row>
      <xdr:rowOff>152400</xdr:rowOff>
    </xdr:to>
    <xdr:sp macro="" textlink="">
      <xdr:nvSpPr>
        <xdr:cNvPr id="2668276" name="Line 26">
          <a:extLst>
            <a:ext uri="{FF2B5EF4-FFF2-40B4-BE49-F238E27FC236}">
              <a16:creationId xmlns:a16="http://schemas.microsoft.com/office/drawing/2014/main" id="{40D19597-2DB0-48CB-B043-83CE3EFBF6B6}"/>
            </a:ext>
          </a:extLst>
        </xdr:cNvPr>
        <xdr:cNvSpPr>
          <a:spLocks noChangeShapeType="1"/>
        </xdr:cNvSpPr>
      </xdr:nvSpPr>
      <xdr:spPr bwMode="auto">
        <a:xfrm flipH="1">
          <a:off x="5276850" y="12944475"/>
          <a:ext cx="33337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1371600</xdr:colOff>
      <xdr:row>48</xdr:row>
      <xdr:rowOff>66675</xdr:rowOff>
    </xdr:from>
    <xdr:to>
      <xdr:col>6</xdr:col>
      <xdr:colOff>238125</xdr:colOff>
      <xdr:row>48</xdr:row>
      <xdr:rowOff>66675</xdr:rowOff>
    </xdr:to>
    <xdr:sp macro="" textlink="">
      <xdr:nvSpPr>
        <xdr:cNvPr id="2668277" name="Line 27">
          <a:extLst>
            <a:ext uri="{FF2B5EF4-FFF2-40B4-BE49-F238E27FC236}">
              <a16:creationId xmlns:a16="http://schemas.microsoft.com/office/drawing/2014/main" id="{53A8ACEA-329D-4A46-8F28-DD99A8E62C18}"/>
            </a:ext>
          </a:extLst>
        </xdr:cNvPr>
        <xdr:cNvSpPr>
          <a:spLocks noChangeShapeType="1"/>
        </xdr:cNvSpPr>
      </xdr:nvSpPr>
      <xdr:spPr bwMode="auto">
        <a:xfrm flipH="1">
          <a:off x="4419600" y="11953875"/>
          <a:ext cx="34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1123950</xdr:colOff>
      <xdr:row>46</xdr:row>
      <xdr:rowOff>19050</xdr:rowOff>
    </xdr:from>
    <xdr:to>
      <xdr:col>5</xdr:col>
      <xdr:colOff>1133475</xdr:colOff>
      <xdr:row>47</xdr:row>
      <xdr:rowOff>76200</xdr:rowOff>
    </xdr:to>
    <xdr:sp macro="" textlink="">
      <xdr:nvSpPr>
        <xdr:cNvPr id="2668278" name="Line 28">
          <a:extLst>
            <a:ext uri="{FF2B5EF4-FFF2-40B4-BE49-F238E27FC236}">
              <a16:creationId xmlns:a16="http://schemas.microsoft.com/office/drawing/2014/main" id="{68CCB5CB-A184-4935-98F9-0D82070E218A}"/>
            </a:ext>
          </a:extLst>
        </xdr:cNvPr>
        <xdr:cNvSpPr>
          <a:spLocks noChangeShapeType="1"/>
        </xdr:cNvSpPr>
      </xdr:nvSpPr>
      <xdr:spPr bwMode="auto">
        <a:xfrm>
          <a:off x="4171950" y="11410950"/>
          <a:ext cx="952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390525</xdr:colOff>
      <xdr:row>55</xdr:row>
      <xdr:rowOff>38100</xdr:rowOff>
    </xdr:from>
    <xdr:to>
      <xdr:col>8</xdr:col>
      <xdr:colOff>590550</xdr:colOff>
      <xdr:row>56</xdr:row>
      <xdr:rowOff>47625</xdr:rowOff>
    </xdr:to>
    <xdr:sp macro="" textlink="">
      <xdr:nvSpPr>
        <xdr:cNvPr id="2668279" name="Line 29">
          <a:extLst>
            <a:ext uri="{FF2B5EF4-FFF2-40B4-BE49-F238E27FC236}">
              <a16:creationId xmlns:a16="http://schemas.microsoft.com/office/drawing/2014/main" id="{F4473073-3FF1-4A6B-A8CB-CBF11C9A16D9}"/>
            </a:ext>
          </a:extLst>
        </xdr:cNvPr>
        <xdr:cNvSpPr>
          <a:spLocks noChangeShapeType="1"/>
        </xdr:cNvSpPr>
      </xdr:nvSpPr>
      <xdr:spPr bwMode="auto">
        <a:xfrm>
          <a:off x="6134100" y="13658850"/>
          <a:ext cx="20002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1209675</xdr:colOff>
      <xdr:row>64</xdr:row>
      <xdr:rowOff>114300</xdr:rowOff>
    </xdr:from>
    <xdr:to>
      <xdr:col>6</xdr:col>
      <xdr:colOff>9525</xdr:colOff>
      <xdr:row>64</xdr:row>
      <xdr:rowOff>114300</xdr:rowOff>
    </xdr:to>
    <xdr:sp macro="" textlink="">
      <xdr:nvSpPr>
        <xdr:cNvPr id="2668280" name="Line 30">
          <a:extLst>
            <a:ext uri="{FF2B5EF4-FFF2-40B4-BE49-F238E27FC236}">
              <a16:creationId xmlns:a16="http://schemas.microsoft.com/office/drawing/2014/main" id="{C8DE27A7-D34F-4885-8EBD-7565B3ED13E4}"/>
            </a:ext>
          </a:extLst>
        </xdr:cNvPr>
        <xdr:cNvSpPr>
          <a:spLocks noChangeShapeType="1"/>
        </xdr:cNvSpPr>
      </xdr:nvSpPr>
      <xdr:spPr bwMode="auto">
        <a:xfrm flipH="1">
          <a:off x="4257675" y="1596390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180975</xdr:colOff>
      <xdr:row>54</xdr:row>
      <xdr:rowOff>85725</xdr:rowOff>
    </xdr:from>
    <xdr:to>
      <xdr:col>3</xdr:col>
      <xdr:colOff>123825</xdr:colOff>
      <xdr:row>55</xdr:row>
      <xdr:rowOff>114300</xdr:rowOff>
    </xdr:to>
    <xdr:sp macro="" textlink="">
      <xdr:nvSpPr>
        <xdr:cNvPr id="8" name="Text Box 32">
          <a:extLst>
            <a:ext uri="{FF2B5EF4-FFF2-40B4-BE49-F238E27FC236}">
              <a16:creationId xmlns:a16="http://schemas.microsoft.com/office/drawing/2014/main" id="{39A0132C-E87D-45C6-BF15-195E353DA0A0}"/>
            </a:ext>
          </a:extLst>
        </xdr:cNvPr>
        <xdr:cNvSpPr txBox="1">
          <a:spLocks noChangeArrowheads="1"/>
        </xdr:cNvSpPr>
      </xdr:nvSpPr>
      <xdr:spPr bwMode="auto">
        <a:xfrm>
          <a:off x="1400175" y="12963525"/>
          <a:ext cx="55245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%CH4</a:t>
          </a:r>
        </a:p>
      </xdr:txBody>
    </xdr:sp>
    <xdr:clientData/>
  </xdr:twoCellAnchor>
  <xdr:twoCellAnchor>
    <xdr:from>
      <xdr:col>9</xdr:col>
      <xdr:colOff>114300</xdr:colOff>
      <xdr:row>54</xdr:row>
      <xdr:rowOff>104775</xdr:rowOff>
    </xdr:from>
    <xdr:to>
      <xdr:col>10</xdr:col>
      <xdr:colOff>19050</xdr:colOff>
      <xdr:row>56</xdr:row>
      <xdr:rowOff>19050</xdr:rowOff>
    </xdr:to>
    <xdr:sp macro="" textlink="">
      <xdr:nvSpPr>
        <xdr:cNvPr id="9" name="Text Box 33">
          <a:extLst>
            <a:ext uri="{FF2B5EF4-FFF2-40B4-BE49-F238E27FC236}">
              <a16:creationId xmlns:a16="http://schemas.microsoft.com/office/drawing/2014/main" id="{7267A1AF-6808-4519-8BD1-3184007C2887}"/>
            </a:ext>
          </a:extLst>
        </xdr:cNvPr>
        <xdr:cNvSpPr txBox="1">
          <a:spLocks noChangeArrowheads="1"/>
        </xdr:cNvSpPr>
      </xdr:nvSpPr>
      <xdr:spPr bwMode="auto">
        <a:xfrm>
          <a:off x="6467475" y="12487275"/>
          <a:ext cx="514350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%C2H4</a:t>
          </a:r>
        </a:p>
      </xdr:txBody>
    </xdr:sp>
    <xdr:clientData/>
  </xdr:twoCellAnchor>
  <xdr:twoCellAnchor>
    <xdr:from>
      <xdr:col>5</xdr:col>
      <xdr:colOff>1143000</xdr:colOff>
      <xdr:row>65</xdr:row>
      <xdr:rowOff>28575</xdr:rowOff>
    </xdr:from>
    <xdr:to>
      <xdr:col>6</xdr:col>
      <xdr:colOff>190500</xdr:colOff>
      <xdr:row>66</xdr:row>
      <xdr:rowOff>0</xdr:rowOff>
    </xdr:to>
    <xdr:sp macro="" textlink="">
      <xdr:nvSpPr>
        <xdr:cNvPr id="1048" name="Text Box 34">
          <a:extLst>
            <a:ext uri="{FF2B5EF4-FFF2-40B4-BE49-F238E27FC236}">
              <a16:creationId xmlns:a16="http://schemas.microsoft.com/office/drawing/2014/main" id="{4FF2E209-D04C-40A9-9017-C7D52701EB1D}"/>
            </a:ext>
          </a:extLst>
        </xdr:cNvPr>
        <xdr:cNvSpPr txBox="1">
          <a:spLocks noChangeArrowheads="1"/>
        </xdr:cNvSpPr>
      </xdr:nvSpPr>
      <xdr:spPr bwMode="auto">
        <a:xfrm>
          <a:off x="4191000" y="15135225"/>
          <a:ext cx="52387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%C2H2</a:t>
          </a:r>
        </a:p>
      </xdr:txBody>
    </xdr:sp>
    <xdr:clientData/>
  </xdr:twoCellAnchor>
  <xdr:twoCellAnchor>
    <xdr:from>
      <xdr:col>6</xdr:col>
      <xdr:colOff>457200</xdr:colOff>
      <xdr:row>59</xdr:row>
      <xdr:rowOff>19050</xdr:rowOff>
    </xdr:from>
    <xdr:to>
      <xdr:col>7</xdr:col>
      <xdr:colOff>133350</xdr:colOff>
      <xdr:row>59</xdr:row>
      <xdr:rowOff>228600</xdr:rowOff>
    </xdr:to>
    <xdr:sp macro="" textlink="">
      <xdr:nvSpPr>
        <xdr:cNvPr id="1049" name="Text Box 24">
          <a:extLst>
            <a:ext uri="{FF2B5EF4-FFF2-40B4-BE49-F238E27FC236}">
              <a16:creationId xmlns:a16="http://schemas.microsoft.com/office/drawing/2014/main" id="{8010BED7-F564-42F0-9C00-CC3BB82C7510}"/>
            </a:ext>
          </a:extLst>
        </xdr:cNvPr>
        <xdr:cNvSpPr txBox="1">
          <a:spLocks noChangeArrowheads="1"/>
        </xdr:cNvSpPr>
      </xdr:nvSpPr>
      <xdr:spPr bwMode="auto">
        <a:xfrm>
          <a:off x="4981575" y="13639800"/>
          <a:ext cx="2857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D+T</a:t>
          </a:r>
        </a:p>
      </xdr:txBody>
    </xdr:sp>
    <xdr:clientData/>
  </xdr:twoCellAnchor>
  <xdr:twoCellAnchor>
    <xdr:from>
      <xdr:col>0</xdr:col>
      <xdr:colOff>133350</xdr:colOff>
      <xdr:row>80</xdr:row>
      <xdr:rowOff>76200</xdr:rowOff>
    </xdr:from>
    <xdr:to>
      <xdr:col>11</xdr:col>
      <xdr:colOff>600075</xdr:colOff>
      <xdr:row>107</xdr:row>
      <xdr:rowOff>133350</xdr:rowOff>
    </xdr:to>
    <xdr:graphicFrame macro="">
      <xdr:nvGraphicFramePr>
        <xdr:cNvPr id="2668285" name="Chart 1">
          <a:extLst>
            <a:ext uri="{FF2B5EF4-FFF2-40B4-BE49-F238E27FC236}">
              <a16:creationId xmlns:a16="http://schemas.microsoft.com/office/drawing/2014/main" id="{9B400599-4F88-4FC3-BCB5-0CC2554565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76200</xdr:colOff>
      <xdr:row>93</xdr:row>
      <xdr:rowOff>38100</xdr:rowOff>
    </xdr:from>
    <xdr:to>
      <xdr:col>3</xdr:col>
      <xdr:colOff>266700</xdr:colOff>
      <xdr:row>94</xdr:row>
      <xdr:rowOff>123825</xdr:rowOff>
    </xdr:to>
    <xdr:sp macro="" textlink="">
      <xdr:nvSpPr>
        <xdr:cNvPr id="2668286" name="Line 29">
          <a:extLst>
            <a:ext uri="{FF2B5EF4-FFF2-40B4-BE49-F238E27FC236}">
              <a16:creationId xmlns:a16="http://schemas.microsoft.com/office/drawing/2014/main" id="{979580B7-5E00-440F-B80B-E14AE9535BB6}"/>
            </a:ext>
          </a:extLst>
        </xdr:cNvPr>
        <xdr:cNvSpPr>
          <a:spLocks noChangeShapeType="1"/>
        </xdr:cNvSpPr>
      </xdr:nvSpPr>
      <xdr:spPr bwMode="auto">
        <a:xfrm flipV="1">
          <a:off x="1905000" y="23069550"/>
          <a:ext cx="1905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314325</xdr:colOff>
      <xdr:row>92</xdr:row>
      <xdr:rowOff>200025</xdr:rowOff>
    </xdr:from>
    <xdr:to>
      <xdr:col>8</xdr:col>
      <xdr:colOff>504825</xdr:colOff>
      <xdr:row>94</xdr:row>
      <xdr:rowOff>19050</xdr:rowOff>
    </xdr:to>
    <xdr:sp macro="" textlink="">
      <xdr:nvSpPr>
        <xdr:cNvPr id="2668287" name="Line 30">
          <a:extLst>
            <a:ext uri="{FF2B5EF4-FFF2-40B4-BE49-F238E27FC236}">
              <a16:creationId xmlns:a16="http://schemas.microsoft.com/office/drawing/2014/main" id="{E573E8EC-4CA4-4381-8F33-66A5B4841990}"/>
            </a:ext>
          </a:extLst>
        </xdr:cNvPr>
        <xdr:cNvSpPr>
          <a:spLocks noChangeShapeType="1"/>
        </xdr:cNvSpPr>
      </xdr:nvSpPr>
      <xdr:spPr bwMode="auto">
        <a:xfrm>
          <a:off x="6057900" y="22983825"/>
          <a:ext cx="19050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790575</xdr:colOff>
      <xdr:row>105</xdr:row>
      <xdr:rowOff>190500</xdr:rowOff>
    </xdr:from>
    <xdr:to>
      <xdr:col>5</xdr:col>
      <xdr:colOff>1095375</xdr:colOff>
      <xdr:row>105</xdr:row>
      <xdr:rowOff>190500</xdr:rowOff>
    </xdr:to>
    <xdr:sp macro="" textlink="">
      <xdr:nvSpPr>
        <xdr:cNvPr id="2668288" name="Line 31">
          <a:extLst>
            <a:ext uri="{FF2B5EF4-FFF2-40B4-BE49-F238E27FC236}">
              <a16:creationId xmlns:a16="http://schemas.microsoft.com/office/drawing/2014/main" id="{034C2ECF-C686-4E21-915A-E7F1DB494E5C}"/>
            </a:ext>
          </a:extLst>
        </xdr:cNvPr>
        <xdr:cNvSpPr>
          <a:spLocks noChangeShapeType="1"/>
        </xdr:cNvSpPr>
      </xdr:nvSpPr>
      <xdr:spPr bwMode="auto">
        <a:xfrm flipH="1" flipV="1">
          <a:off x="3838575" y="26193750"/>
          <a:ext cx="30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104</xdr:row>
      <xdr:rowOff>104775</xdr:rowOff>
    </xdr:from>
    <xdr:to>
      <xdr:col>10</xdr:col>
      <xdr:colOff>333375</xdr:colOff>
      <xdr:row>105</xdr:row>
      <xdr:rowOff>47625</xdr:rowOff>
    </xdr:to>
    <xdr:sp macro="" textlink="">
      <xdr:nvSpPr>
        <xdr:cNvPr id="2668289" name="Line 32">
          <a:extLst>
            <a:ext uri="{FF2B5EF4-FFF2-40B4-BE49-F238E27FC236}">
              <a16:creationId xmlns:a16="http://schemas.microsoft.com/office/drawing/2014/main" id="{78B0B2DA-0EF6-4DCA-A6C2-9773A38A4747}"/>
            </a:ext>
          </a:extLst>
        </xdr:cNvPr>
        <xdr:cNvSpPr>
          <a:spLocks noChangeShapeType="1"/>
        </xdr:cNvSpPr>
      </xdr:nvSpPr>
      <xdr:spPr bwMode="auto">
        <a:xfrm flipV="1">
          <a:off x="7019925" y="25860375"/>
          <a:ext cx="276225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1209675</xdr:colOff>
      <xdr:row>83</xdr:row>
      <xdr:rowOff>114300</xdr:rowOff>
    </xdr:from>
    <xdr:to>
      <xdr:col>6</xdr:col>
      <xdr:colOff>9525</xdr:colOff>
      <xdr:row>83</xdr:row>
      <xdr:rowOff>123825</xdr:rowOff>
    </xdr:to>
    <xdr:sp macro="" textlink="">
      <xdr:nvSpPr>
        <xdr:cNvPr id="2668290" name="Line 33">
          <a:extLst>
            <a:ext uri="{FF2B5EF4-FFF2-40B4-BE49-F238E27FC236}">
              <a16:creationId xmlns:a16="http://schemas.microsoft.com/office/drawing/2014/main" id="{68A64D93-FCCF-4CAC-A901-92E33E50EAF5}"/>
            </a:ext>
          </a:extLst>
        </xdr:cNvPr>
        <xdr:cNvSpPr>
          <a:spLocks noChangeShapeType="1"/>
        </xdr:cNvSpPr>
      </xdr:nvSpPr>
      <xdr:spPr bwMode="auto">
        <a:xfrm flipH="1">
          <a:off x="4257675" y="20669250"/>
          <a:ext cx="2762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600075</xdr:colOff>
      <xdr:row>138</xdr:row>
      <xdr:rowOff>219075</xdr:rowOff>
    </xdr:from>
    <xdr:to>
      <xdr:col>19</xdr:col>
      <xdr:colOff>923925</xdr:colOff>
      <xdr:row>139</xdr:row>
      <xdr:rowOff>161925</xdr:rowOff>
    </xdr:to>
    <xdr:sp macro="" textlink="">
      <xdr:nvSpPr>
        <xdr:cNvPr id="1058" name="Text Box 34">
          <a:extLst>
            <a:ext uri="{FF2B5EF4-FFF2-40B4-BE49-F238E27FC236}">
              <a16:creationId xmlns:a16="http://schemas.microsoft.com/office/drawing/2014/main" id="{92FEC211-3960-40EB-9161-950F1EC5A632}"/>
            </a:ext>
          </a:extLst>
        </xdr:cNvPr>
        <xdr:cNvSpPr txBox="1">
          <a:spLocks noChangeArrowheads="1"/>
        </xdr:cNvSpPr>
      </xdr:nvSpPr>
      <xdr:spPr bwMode="auto">
        <a:xfrm>
          <a:off x="13049250" y="33404175"/>
          <a:ext cx="9525" cy="19050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PD</a:t>
          </a:r>
        </a:p>
      </xdr:txBody>
    </xdr:sp>
    <xdr:clientData/>
  </xdr:twoCellAnchor>
  <xdr:twoCellAnchor>
    <xdr:from>
      <xdr:col>0</xdr:col>
      <xdr:colOff>85725</xdr:colOff>
      <xdr:row>112</xdr:row>
      <xdr:rowOff>133350</xdr:rowOff>
    </xdr:from>
    <xdr:to>
      <xdr:col>6</xdr:col>
      <xdr:colOff>438150</xdr:colOff>
      <xdr:row>133</xdr:row>
      <xdr:rowOff>123825</xdr:rowOff>
    </xdr:to>
    <xdr:graphicFrame macro="">
      <xdr:nvGraphicFramePr>
        <xdr:cNvPr id="2668292" name="Chart 35">
          <a:extLst>
            <a:ext uri="{FF2B5EF4-FFF2-40B4-BE49-F238E27FC236}">
              <a16:creationId xmlns:a16="http://schemas.microsoft.com/office/drawing/2014/main" id="{F9EBFB54-652D-4AFE-86AD-F9157C009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112</xdr:row>
      <xdr:rowOff>152400</xdr:rowOff>
    </xdr:from>
    <xdr:to>
      <xdr:col>15</xdr:col>
      <xdr:colOff>190500</xdr:colOff>
      <xdr:row>133</xdr:row>
      <xdr:rowOff>123825</xdr:rowOff>
    </xdr:to>
    <xdr:graphicFrame macro="">
      <xdr:nvGraphicFramePr>
        <xdr:cNvPr id="2668293" name="Chart 36">
          <a:extLst>
            <a:ext uri="{FF2B5EF4-FFF2-40B4-BE49-F238E27FC236}">
              <a16:creationId xmlns:a16="http://schemas.microsoft.com/office/drawing/2014/main" id="{D7FA4ECA-EFFD-4F7E-947C-C1C415167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1247775</xdr:colOff>
      <xdr:row>132</xdr:row>
      <xdr:rowOff>133350</xdr:rowOff>
    </xdr:from>
    <xdr:to>
      <xdr:col>6</xdr:col>
      <xdr:colOff>276225</xdr:colOff>
      <xdr:row>133</xdr:row>
      <xdr:rowOff>104775</xdr:rowOff>
    </xdr:to>
    <xdr:sp macro="" textlink="">
      <xdr:nvSpPr>
        <xdr:cNvPr id="1061" name="Text Box 37">
          <a:extLst>
            <a:ext uri="{FF2B5EF4-FFF2-40B4-BE49-F238E27FC236}">
              <a16:creationId xmlns:a16="http://schemas.microsoft.com/office/drawing/2014/main" id="{04C77BAF-0837-4E81-BFD1-5F4EE5EA0E2D}"/>
            </a:ext>
          </a:extLst>
        </xdr:cNvPr>
        <xdr:cNvSpPr txBox="1">
          <a:spLocks noChangeArrowheads="1"/>
        </xdr:cNvSpPr>
      </xdr:nvSpPr>
      <xdr:spPr bwMode="auto">
        <a:xfrm>
          <a:off x="4295775" y="32823150"/>
          <a:ext cx="504825" cy="219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CH4/H2</a:t>
          </a:r>
        </a:p>
      </xdr:txBody>
    </xdr:sp>
    <xdr:clientData/>
  </xdr:twoCellAnchor>
  <xdr:twoCellAnchor>
    <xdr:from>
      <xdr:col>5</xdr:col>
      <xdr:colOff>828675</xdr:colOff>
      <xdr:row>124</xdr:row>
      <xdr:rowOff>180975</xdr:rowOff>
    </xdr:from>
    <xdr:to>
      <xdr:col>5</xdr:col>
      <xdr:colOff>1047750</xdr:colOff>
      <xdr:row>125</xdr:row>
      <xdr:rowOff>180975</xdr:rowOff>
    </xdr:to>
    <xdr:sp macro="" textlink="">
      <xdr:nvSpPr>
        <xdr:cNvPr id="1062" name="Text Box 38">
          <a:extLst>
            <a:ext uri="{FF2B5EF4-FFF2-40B4-BE49-F238E27FC236}">
              <a16:creationId xmlns:a16="http://schemas.microsoft.com/office/drawing/2014/main" id="{30D895A5-CF01-4BED-A1E6-C94143781381}"/>
            </a:ext>
          </a:extLst>
        </xdr:cNvPr>
        <xdr:cNvSpPr txBox="1">
          <a:spLocks noChangeArrowheads="1"/>
        </xdr:cNvSpPr>
      </xdr:nvSpPr>
      <xdr:spPr bwMode="auto">
        <a:xfrm>
          <a:off x="3876675" y="30889575"/>
          <a:ext cx="219075" cy="2476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T1</a:t>
          </a:r>
        </a:p>
      </xdr:txBody>
    </xdr:sp>
    <xdr:clientData/>
  </xdr:twoCellAnchor>
  <xdr:twoCellAnchor>
    <xdr:from>
      <xdr:col>2</xdr:col>
      <xdr:colOff>523875</xdr:colOff>
      <xdr:row>124</xdr:row>
      <xdr:rowOff>238125</xdr:rowOff>
    </xdr:from>
    <xdr:to>
      <xdr:col>3</xdr:col>
      <xdr:colOff>123825</xdr:colOff>
      <xdr:row>125</xdr:row>
      <xdr:rowOff>228600</xdr:rowOff>
    </xdr:to>
    <xdr:sp macro="" textlink="">
      <xdr:nvSpPr>
        <xdr:cNvPr id="1063" name="Text Box 39">
          <a:extLst>
            <a:ext uri="{FF2B5EF4-FFF2-40B4-BE49-F238E27FC236}">
              <a16:creationId xmlns:a16="http://schemas.microsoft.com/office/drawing/2014/main" id="{E73605BE-8DE1-4CF2-8C22-1865A23E9BA2}"/>
            </a:ext>
          </a:extLst>
        </xdr:cNvPr>
        <xdr:cNvSpPr txBox="1">
          <a:spLocks noChangeArrowheads="1"/>
        </xdr:cNvSpPr>
      </xdr:nvSpPr>
      <xdr:spPr bwMode="auto">
        <a:xfrm>
          <a:off x="1743075" y="30946725"/>
          <a:ext cx="209550" cy="2381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PD</a:t>
          </a:r>
        </a:p>
      </xdr:txBody>
    </xdr:sp>
    <xdr:clientData/>
  </xdr:twoCellAnchor>
  <xdr:twoCellAnchor>
    <xdr:from>
      <xdr:col>5</xdr:col>
      <xdr:colOff>828675</xdr:colOff>
      <xdr:row>122</xdr:row>
      <xdr:rowOff>142875</xdr:rowOff>
    </xdr:from>
    <xdr:to>
      <xdr:col>5</xdr:col>
      <xdr:colOff>1095375</xdr:colOff>
      <xdr:row>123</xdr:row>
      <xdr:rowOff>123825</xdr:rowOff>
    </xdr:to>
    <xdr:sp macro="" textlink="">
      <xdr:nvSpPr>
        <xdr:cNvPr id="1064" name="Text Box 40">
          <a:extLst>
            <a:ext uri="{FF2B5EF4-FFF2-40B4-BE49-F238E27FC236}">
              <a16:creationId xmlns:a16="http://schemas.microsoft.com/office/drawing/2014/main" id="{1EBD0757-FB4F-4EA9-9874-0F062F76A111}"/>
            </a:ext>
          </a:extLst>
        </xdr:cNvPr>
        <xdr:cNvSpPr txBox="1">
          <a:spLocks noChangeArrowheads="1"/>
        </xdr:cNvSpPr>
      </xdr:nvSpPr>
      <xdr:spPr bwMode="auto">
        <a:xfrm>
          <a:off x="3876675" y="30356175"/>
          <a:ext cx="266700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T2</a:t>
          </a:r>
        </a:p>
      </xdr:txBody>
    </xdr:sp>
    <xdr:clientData/>
  </xdr:twoCellAnchor>
  <xdr:twoCellAnchor>
    <xdr:from>
      <xdr:col>5</xdr:col>
      <xdr:colOff>857250</xdr:colOff>
      <xdr:row>121</xdr:row>
      <xdr:rowOff>28575</xdr:rowOff>
    </xdr:from>
    <xdr:to>
      <xdr:col>5</xdr:col>
      <xdr:colOff>1095375</xdr:colOff>
      <xdr:row>122</xdr:row>
      <xdr:rowOff>0</xdr:rowOff>
    </xdr:to>
    <xdr:sp macro="" textlink="">
      <xdr:nvSpPr>
        <xdr:cNvPr id="1065" name="Text Box 41">
          <a:extLst>
            <a:ext uri="{FF2B5EF4-FFF2-40B4-BE49-F238E27FC236}">
              <a16:creationId xmlns:a16="http://schemas.microsoft.com/office/drawing/2014/main" id="{C728B21A-E46F-4958-8CF6-F641E92A8F63}"/>
            </a:ext>
          </a:extLst>
        </xdr:cNvPr>
        <xdr:cNvSpPr txBox="1">
          <a:spLocks noChangeArrowheads="1"/>
        </xdr:cNvSpPr>
      </xdr:nvSpPr>
      <xdr:spPr bwMode="auto">
        <a:xfrm>
          <a:off x="3905250" y="29994225"/>
          <a:ext cx="238125" cy="219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T3</a:t>
          </a:r>
        </a:p>
      </xdr:txBody>
    </xdr:sp>
    <xdr:clientData/>
  </xdr:twoCellAnchor>
  <xdr:twoCellAnchor>
    <xdr:from>
      <xdr:col>5</xdr:col>
      <xdr:colOff>190500</xdr:colOff>
      <xdr:row>119</xdr:row>
      <xdr:rowOff>47625</xdr:rowOff>
    </xdr:from>
    <xdr:to>
      <xdr:col>5</xdr:col>
      <xdr:colOff>419100</xdr:colOff>
      <xdr:row>119</xdr:row>
      <xdr:rowOff>180975</xdr:rowOff>
    </xdr:to>
    <xdr:sp macro="" textlink="">
      <xdr:nvSpPr>
        <xdr:cNvPr id="1066" name="Text Box 42">
          <a:extLst>
            <a:ext uri="{FF2B5EF4-FFF2-40B4-BE49-F238E27FC236}">
              <a16:creationId xmlns:a16="http://schemas.microsoft.com/office/drawing/2014/main" id="{376F1F3B-16FA-47BA-9221-A0379A51BE9F}"/>
            </a:ext>
          </a:extLst>
        </xdr:cNvPr>
        <xdr:cNvSpPr txBox="1">
          <a:spLocks noChangeArrowheads="1"/>
        </xdr:cNvSpPr>
      </xdr:nvSpPr>
      <xdr:spPr bwMode="auto">
        <a:xfrm>
          <a:off x="3238500" y="29517975"/>
          <a:ext cx="228600" cy="133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D2</a:t>
          </a:r>
        </a:p>
      </xdr:txBody>
    </xdr:sp>
    <xdr:clientData/>
  </xdr:twoCellAnchor>
  <xdr:twoCellAnchor>
    <xdr:from>
      <xdr:col>4</xdr:col>
      <xdr:colOff>495300</xdr:colOff>
      <xdr:row>118</xdr:row>
      <xdr:rowOff>142875</xdr:rowOff>
    </xdr:from>
    <xdr:to>
      <xdr:col>5</xdr:col>
      <xdr:colOff>276225</xdr:colOff>
      <xdr:row>119</xdr:row>
      <xdr:rowOff>123825</xdr:rowOff>
    </xdr:to>
    <xdr:sp macro="" textlink="">
      <xdr:nvSpPr>
        <xdr:cNvPr id="1067" name="Text Box 43">
          <a:extLst>
            <a:ext uri="{FF2B5EF4-FFF2-40B4-BE49-F238E27FC236}">
              <a16:creationId xmlns:a16="http://schemas.microsoft.com/office/drawing/2014/main" id="{0E38D1F5-EDB3-42B8-92FB-C0121F699BDE}"/>
            </a:ext>
          </a:extLst>
        </xdr:cNvPr>
        <xdr:cNvSpPr txBox="1">
          <a:spLocks noChangeArrowheads="1"/>
        </xdr:cNvSpPr>
      </xdr:nvSpPr>
      <xdr:spPr bwMode="auto">
        <a:xfrm>
          <a:off x="2933700" y="29365575"/>
          <a:ext cx="39052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D1-D2</a:t>
          </a:r>
        </a:p>
      </xdr:txBody>
    </xdr:sp>
    <xdr:clientData/>
  </xdr:twoCellAnchor>
  <xdr:twoCellAnchor>
    <xdr:from>
      <xdr:col>5</xdr:col>
      <xdr:colOff>19050</xdr:colOff>
      <xdr:row>116</xdr:row>
      <xdr:rowOff>57150</xdr:rowOff>
    </xdr:from>
    <xdr:to>
      <xdr:col>5</xdr:col>
      <xdr:colOff>314325</xdr:colOff>
      <xdr:row>116</xdr:row>
      <xdr:rowOff>200025</xdr:rowOff>
    </xdr:to>
    <xdr:sp macro="" textlink="">
      <xdr:nvSpPr>
        <xdr:cNvPr id="1068" name="Text Box 44">
          <a:extLst>
            <a:ext uri="{FF2B5EF4-FFF2-40B4-BE49-F238E27FC236}">
              <a16:creationId xmlns:a16="http://schemas.microsoft.com/office/drawing/2014/main" id="{00B661BC-6D89-40F3-BA86-4B234C42ACBB}"/>
            </a:ext>
          </a:extLst>
        </xdr:cNvPr>
        <xdr:cNvSpPr txBox="1">
          <a:spLocks noChangeArrowheads="1"/>
        </xdr:cNvSpPr>
      </xdr:nvSpPr>
      <xdr:spPr bwMode="auto">
        <a:xfrm>
          <a:off x="3067050" y="28784550"/>
          <a:ext cx="2952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D1</a:t>
          </a:r>
        </a:p>
      </xdr:txBody>
    </xdr:sp>
    <xdr:clientData/>
  </xdr:twoCellAnchor>
  <xdr:twoCellAnchor>
    <xdr:from>
      <xdr:col>0</xdr:col>
      <xdr:colOff>247650</xdr:colOff>
      <xdr:row>113</xdr:row>
      <xdr:rowOff>28575</xdr:rowOff>
    </xdr:from>
    <xdr:to>
      <xdr:col>1</xdr:col>
      <xdr:colOff>361950</xdr:colOff>
      <xdr:row>114</xdr:row>
      <xdr:rowOff>38100</xdr:rowOff>
    </xdr:to>
    <xdr:sp macro="" textlink="">
      <xdr:nvSpPr>
        <xdr:cNvPr id="1069" name="Text Box 45">
          <a:extLst>
            <a:ext uri="{FF2B5EF4-FFF2-40B4-BE49-F238E27FC236}">
              <a16:creationId xmlns:a16="http://schemas.microsoft.com/office/drawing/2014/main" id="{89829150-A4FE-4B73-B4B4-2B49FCD18AAB}"/>
            </a:ext>
          </a:extLst>
        </xdr:cNvPr>
        <xdr:cNvSpPr txBox="1">
          <a:spLocks noChangeArrowheads="1"/>
        </xdr:cNvSpPr>
      </xdr:nvSpPr>
      <xdr:spPr bwMode="auto">
        <a:xfrm>
          <a:off x="247650" y="27022425"/>
          <a:ext cx="723900" cy="2571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C2H2/C2H4</a:t>
          </a:r>
        </a:p>
      </xdr:txBody>
    </xdr:sp>
    <xdr:clientData/>
  </xdr:twoCellAnchor>
  <xdr:twoCellAnchor>
    <xdr:from>
      <xdr:col>7</xdr:col>
      <xdr:colOff>152400</xdr:colOff>
      <xdr:row>113</xdr:row>
      <xdr:rowOff>38100</xdr:rowOff>
    </xdr:from>
    <xdr:to>
      <xdr:col>8</xdr:col>
      <xdr:colOff>266700</xdr:colOff>
      <xdr:row>113</xdr:row>
      <xdr:rowOff>190500</xdr:rowOff>
    </xdr:to>
    <xdr:sp macro="" textlink="">
      <xdr:nvSpPr>
        <xdr:cNvPr id="1070" name="Text Box 46">
          <a:extLst>
            <a:ext uri="{FF2B5EF4-FFF2-40B4-BE49-F238E27FC236}">
              <a16:creationId xmlns:a16="http://schemas.microsoft.com/office/drawing/2014/main" id="{FF461C08-6597-44F6-8D04-F1CCFA11AA15}"/>
            </a:ext>
          </a:extLst>
        </xdr:cNvPr>
        <xdr:cNvSpPr txBox="1">
          <a:spLocks noChangeArrowheads="1"/>
        </xdr:cNvSpPr>
      </xdr:nvSpPr>
      <xdr:spPr bwMode="auto">
        <a:xfrm>
          <a:off x="5286375" y="27031950"/>
          <a:ext cx="723900" cy="152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C2H2/C2H4</a:t>
          </a:r>
        </a:p>
      </xdr:txBody>
    </xdr:sp>
    <xdr:clientData/>
  </xdr:twoCellAnchor>
  <xdr:twoCellAnchor>
    <xdr:from>
      <xdr:col>12</xdr:col>
      <xdr:colOff>600075</xdr:colOff>
      <xdr:row>116</xdr:row>
      <xdr:rowOff>28575</xdr:rowOff>
    </xdr:from>
    <xdr:to>
      <xdr:col>13</xdr:col>
      <xdr:colOff>285750</xdr:colOff>
      <xdr:row>117</xdr:row>
      <xdr:rowOff>38100</xdr:rowOff>
    </xdr:to>
    <xdr:sp macro="" textlink="">
      <xdr:nvSpPr>
        <xdr:cNvPr id="1071" name="Text Box 47">
          <a:extLst>
            <a:ext uri="{FF2B5EF4-FFF2-40B4-BE49-F238E27FC236}">
              <a16:creationId xmlns:a16="http://schemas.microsoft.com/office/drawing/2014/main" id="{CEEA6587-B87A-4E1B-A3A5-81A5B80812A4}"/>
            </a:ext>
          </a:extLst>
        </xdr:cNvPr>
        <xdr:cNvSpPr txBox="1">
          <a:spLocks noChangeArrowheads="1"/>
        </xdr:cNvSpPr>
      </xdr:nvSpPr>
      <xdr:spPr bwMode="auto">
        <a:xfrm>
          <a:off x="8782050" y="28755975"/>
          <a:ext cx="295275" cy="2571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D1</a:t>
          </a:r>
        </a:p>
      </xdr:txBody>
    </xdr:sp>
    <xdr:clientData/>
  </xdr:twoCellAnchor>
  <xdr:twoCellAnchor>
    <xdr:from>
      <xdr:col>12</xdr:col>
      <xdr:colOff>523875</xdr:colOff>
      <xdr:row>118</xdr:row>
      <xdr:rowOff>133350</xdr:rowOff>
    </xdr:from>
    <xdr:to>
      <xdr:col>13</xdr:col>
      <xdr:colOff>304800</xdr:colOff>
      <xdr:row>119</xdr:row>
      <xdr:rowOff>38100</xdr:rowOff>
    </xdr:to>
    <xdr:sp macro="" textlink="">
      <xdr:nvSpPr>
        <xdr:cNvPr id="1072" name="Text Box 48">
          <a:extLst>
            <a:ext uri="{FF2B5EF4-FFF2-40B4-BE49-F238E27FC236}">
              <a16:creationId xmlns:a16="http://schemas.microsoft.com/office/drawing/2014/main" id="{F464E19A-DC8D-4E28-A273-D22D2D23DECC}"/>
            </a:ext>
          </a:extLst>
        </xdr:cNvPr>
        <xdr:cNvSpPr txBox="1">
          <a:spLocks noChangeArrowheads="1"/>
        </xdr:cNvSpPr>
      </xdr:nvSpPr>
      <xdr:spPr bwMode="auto">
        <a:xfrm>
          <a:off x="8705850" y="29356050"/>
          <a:ext cx="390525" cy="152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D1-D2</a:t>
          </a:r>
        </a:p>
      </xdr:txBody>
    </xdr:sp>
    <xdr:clientData/>
  </xdr:twoCellAnchor>
  <xdr:twoCellAnchor>
    <xdr:from>
      <xdr:col>13</xdr:col>
      <xdr:colOff>428625</xdr:colOff>
      <xdr:row>119</xdr:row>
      <xdr:rowOff>85724</xdr:rowOff>
    </xdr:from>
    <xdr:to>
      <xdr:col>14</xdr:col>
      <xdr:colOff>133350</xdr:colOff>
      <xdr:row>120</xdr:row>
      <xdr:rowOff>9525</xdr:rowOff>
    </xdr:to>
    <xdr:sp macro="" textlink="">
      <xdr:nvSpPr>
        <xdr:cNvPr id="1073" name="Text Box 49">
          <a:extLst>
            <a:ext uri="{FF2B5EF4-FFF2-40B4-BE49-F238E27FC236}">
              <a16:creationId xmlns:a16="http://schemas.microsoft.com/office/drawing/2014/main" id="{1BAEFFEF-4EB4-44CC-BCF3-E13428FF9671}"/>
            </a:ext>
          </a:extLst>
        </xdr:cNvPr>
        <xdr:cNvSpPr txBox="1">
          <a:spLocks noChangeArrowheads="1"/>
        </xdr:cNvSpPr>
      </xdr:nvSpPr>
      <xdr:spPr bwMode="auto">
        <a:xfrm>
          <a:off x="9220200" y="29556074"/>
          <a:ext cx="314325" cy="171451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D2</a:t>
          </a:r>
        </a:p>
      </xdr:txBody>
    </xdr:sp>
    <xdr:clientData/>
  </xdr:twoCellAnchor>
  <xdr:twoCellAnchor>
    <xdr:from>
      <xdr:col>13</xdr:col>
      <xdr:colOff>276225</xdr:colOff>
      <xdr:row>124</xdr:row>
      <xdr:rowOff>123825</xdr:rowOff>
    </xdr:from>
    <xdr:to>
      <xdr:col>13</xdr:col>
      <xdr:colOff>514350</xdr:colOff>
      <xdr:row>125</xdr:row>
      <xdr:rowOff>47625</xdr:rowOff>
    </xdr:to>
    <xdr:sp macro="" textlink="">
      <xdr:nvSpPr>
        <xdr:cNvPr id="1074" name="Text Box 50">
          <a:extLst>
            <a:ext uri="{FF2B5EF4-FFF2-40B4-BE49-F238E27FC236}">
              <a16:creationId xmlns:a16="http://schemas.microsoft.com/office/drawing/2014/main" id="{55ACA773-1FE8-4A93-B1B9-6733C8D127EF}"/>
            </a:ext>
          </a:extLst>
        </xdr:cNvPr>
        <xdr:cNvSpPr txBox="1">
          <a:spLocks noChangeArrowheads="1"/>
        </xdr:cNvSpPr>
      </xdr:nvSpPr>
      <xdr:spPr bwMode="auto">
        <a:xfrm>
          <a:off x="9067800" y="30832425"/>
          <a:ext cx="238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T3</a:t>
          </a:r>
        </a:p>
      </xdr:txBody>
    </xdr:sp>
    <xdr:clientData/>
  </xdr:twoCellAnchor>
  <xdr:twoCellAnchor>
    <xdr:from>
      <xdr:col>12</xdr:col>
      <xdr:colOff>142875</xdr:colOff>
      <xdr:row>124</xdr:row>
      <xdr:rowOff>219075</xdr:rowOff>
    </xdr:from>
    <xdr:to>
      <xdr:col>12</xdr:col>
      <xdr:colOff>381000</xdr:colOff>
      <xdr:row>125</xdr:row>
      <xdr:rowOff>190500</xdr:rowOff>
    </xdr:to>
    <xdr:sp macro="" textlink="">
      <xdr:nvSpPr>
        <xdr:cNvPr id="1075" name="Text Box 51">
          <a:extLst>
            <a:ext uri="{FF2B5EF4-FFF2-40B4-BE49-F238E27FC236}">
              <a16:creationId xmlns:a16="http://schemas.microsoft.com/office/drawing/2014/main" id="{BCDC2A5A-3222-4882-AB08-8794DB991C7C}"/>
            </a:ext>
          </a:extLst>
        </xdr:cNvPr>
        <xdr:cNvSpPr txBox="1">
          <a:spLocks noChangeArrowheads="1"/>
        </xdr:cNvSpPr>
      </xdr:nvSpPr>
      <xdr:spPr bwMode="auto">
        <a:xfrm>
          <a:off x="8324850" y="30927675"/>
          <a:ext cx="238125" cy="219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T2</a:t>
          </a:r>
        </a:p>
      </xdr:txBody>
    </xdr:sp>
    <xdr:clientData/>
  </xdr:twoCellAnchor>
  <xdr:twoCellAnchor>
    <xdr:from>
      <xdr:col>11</xdr:col>
      <xdr:colOff>371475</xdr:colOff>
      <xdr:row>126</xdr:row>
      <xdr:rowOff>19050</xdr:rowOff>
    </xdr:from>
    <xdr:to>
      <xdr:col>11</xdr:col>
      <xdr:colOff>590550</xdr:colOff>
      <xdr:row>127</xdr:row>
      <xdr:rowOff>19050</xdr:rowOff>
    </xdr:to>
    <xdr:sp macro="" textlink="">
      <xdr:nvSpPr>
        <xdr:cNvPr id="1076" name="Text Box 52">
          <a:extLst>
            <a:ext uri="{FF2B5EF4-FFF2-40B4-BE49-F238E27FC236}">
              <a16:creationId xmlns:a16="http://schemas.microsoft.com/office/drawing/2014/main" id="{EA646E9F-4437-4B8D-AB50-0288CFD22695}"/>
            </a:ext>
          </a:extLst>
        </xdr:cNvPr>
        <xdr:cNvSpPr txBox="1">
          <a:spLocks noChangeArrowheads="1"/>
        </xdr:cNvSpPr>
      </xdr:nvSpPr>
      <xdr:spPr bwMode="auto">
        <a:xfrm>
          <a:off x="7943850" y="31222950"/>
          <a:ext cx="219075" cy="2476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T1</a:t>
          </a:r>
        </a:p>
      </xdr:txBody>
    </xdr:sp>
    <xdr:clientData/>
  </xdr:twoCellAnchor>
  <xdr:twoCellAnchor>
    <xdr:from>
      <xdr:col>9</xdr:col>
      <xdr:colOff>457200</xdr:colOff>
      <xdr:row>126</xdr:row>
      <xdr:rowOff>9525</xdr:rowOff>
    </xdr:from>
    <xdr:to>
      <xdr:col>10</xdr:col>
      <xdr:colOff>57150</xdr:colOff>
      <xdr:row>127</xdr:row>
      <xdr:rowOff>0</xdr:rowOff>
    </xdr:to>
    <xdr:sp macro="" textlink="">
      <xdr:nvSpPr>
        <xdr:cNvPr id="1077" name="Text Box 53">
          <a:extLst>
            <a:ext uri="{FF2B5EF4-FFF2-40B4-BE49-F238E27FC236}">
              <a16:creationId xmlns:a16="http://schemas.microsoft.com/office/drawing/2014/main" id="{D37ED957-A8B7-4739-A7CE-9B8EEC6D4852}"/>
            </a:ext>
          </a:extLst>
        </xdr:cNvPr>
        <xdr:cNvSpPr txBox="1">
          <a:spLocks noChangeArrowheads="1"/>
        </xdr:cNvSpPr>
      </xdr:nvSpPr>
      <xdr:spPr bwMode="auto">
        <a:xfrm>
          <a:off x="6810375" y="31213425"/>
          <a:ext cx="209550" cy="2381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PD</a:t>
          </a:r>
        </a:p>
      </xdr:txBody>
    </xdr:sp>
    <xdr:clientData/>
  </xdr:twoCellAnchor>
  <xdr:twoCellAnchor>
    <xdr:from>
      <xdr:col>13</xdr:col>
      <xdr:colOff>533400</xdr:colOff>
      <xdr:row>132</xdr:row>
      <xdr:rowOff>28575</xdr:rowOff>
    </xdr:from>
    <xdr:to>
      <xdr:col>15</xdr:col>
      <xdr:colOff>38100</xdr:colOff>
      <xdr:row>133</xdr:row>
      <xdr:rowOff>38100</xdr:rowOff>
    </xdr:to>
    <xdr:sp macro="" textlink="">
      <xdr:nvSpPr>
        <xdr:cNvPr id="1078" name="Text Box 54">
          <a:extLst>
            <a:ext uri="{FF2B5EF4-FFF2-40B4-BE49-F238E27FC236}">
              <a16:creationId xmlns:a16="http://schemas.microsoft.com/office/drawing/2014/main" id="{2B01DF45-5A46-4BDD-96D8-5682EA963373}"/>
            </a:ext>
          </a:extLst>
        </xdr:cNvPr>
        <xdr:cNvSpPr txBox="1">
          <a:spLocks noChangeArrowheads="1"/>
        </xdr:cNvSpPr>
      </xdr:nvSpPr>
      <xdr:spPr bwMode="auto">
        <a:xfrm>
          <a:off x="9324975" y="32718375"/>
          <a:ext cx="723900" cy="2571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C2H4/C2H6</a:t>
          </a:r>
        </a:p>
      </xdr:txBody>
    </xdr:sp>
    <xdr:clientData/>
  </xdr:twoCellAnchor>
  <xdr:twoCellAnchor>
    <xdr:from>
      <xdr:col>3</xdr:col>
      <xdr:colOff>600075</xdr:colOff>
      <xdr:row>138</xdr:row>
      <xdr:rowOff>9525</xdr:rowOff>
    </xdr:from>
    <xdr:to>
      <xdr:col>11</xdr:col>
      <xdr:colOff>390525</xdr:colOff>
      <xdr:row>152</xdr:row>
      <xdr:rowOff>114300</xdr:rowOff>
    </xdr:to>
    <xdr:graphicFrame macro="">
      <xdr:nvGraphicFramePr>
        <xdr:cNvPr id="2668312" name="Chart 55">
          <a:extLst>
            <a:ext uri="{FF2B5EF4-FFF2-40B4-BE49-F238E27FC236}">
              <a16:creationId xmlns:a16="http://schemas.microsoft.com/office/drawing/2014/main" id="{ADB681CE-8E69-45FC-839D-3BD3253633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9525</xdr:colOff>
      <xdr:row>158</xdr:row>
      <xdr:rowOff>38100</xdr:rowOff>
    </xdr:from>
    <xdr:to>
      <xdr:col>11</xdr:col>
      <xdr:colOff>295275</xdr:colOff>
      <xdr:row>177</xdr:row>
      <xdr:rowOff>133350</xdr:rowOff>
    </xdr:to>
    <xdr:graphicFrame macro="">
      <xdr:nvGraphicFramePr>
        <xdr:cNvPr id="2668313" name="Chart 59">
          <a:extLst>
            <a:ext uri="{FF2B5EF4-FFF2-40B4-BE49-F238E27FC236}">
              <a16:creationId xmlns:a16="http://schemas.microsoft.com/office/drawing/2014/main" id="{35E07BC9-0998-4867-AEC8-CF16A7E89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695325</xdr:colOff>
      <xdr:row>106</xdr:row>
      <xdr:rowOff>104775</xdr:rowOff>
    </xdr:from>
    <xdr:to>
      <xdr:col>5</xdr:col>
      <xdr:colOff>1171575</xdr:colOff>
      <xdr:row>107</xdr:row>
      <xdr:rowOff>38100</xdr:rowOff>
    </xdr:to>
    <xdr:sp macro="" textlink="">
      <xdr:nvSpPr>
        <xdr:cNvPr id="1085" name="Text Box 61">
          <a:extLst>
            <a:ext uri="{FF2B5EF4-FFF2-40B4-BE49-F238E27FC236}">
              <a16:creationId xmlns:a16="http://schemas.microsoft.com/office/drawing/2014/main" id="{F212248C-600C-45E6-85DA-02A0A9CA9335}"/>
            </a:ext>
          </a:extLst>
        </xdr:cNvPr>
        <xdr:cNvSpPr txBox="1">
          <a:spLocks noChangeArrowheads="1"/>
        </xdr:cNvSpPr>
      </xdr:nvSpPr>
      <xdr:spPr bwMode="auto">
        <a:xfrm>
          <a:off x="3743325" y="25365075"/>
          <a:ext cx="4762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%C2H2</a:t>
          </a:r>
        </a:p>
      </xdr:txBody>
    </xdr:sp>
    <xdr:clientData/>
  </xdr:twoCellAnchor>
  <xdr:twoCellAnchor>
    <xdr:from>
      <xdr:col>9</xdr:col>
      <xdr:colOff>438150</xdr:colOff>
      <xdr:row>105</xdr:row>
      <xdr:rowOff>104775</xdr:rowOff>
    </xdr:from>
    <xdr:to>
      <xdr:col>10</xdr:col>
      <xdr:colOff>19050</xdr:colOff>
      <xdr:row>106</xdr:row>
      <xdr:rowOff>85725</xdr:rowOff>
    </xdr:to>
    <xdr:sp macro="" textlink="">
      <xdr:nvSpPr>
        <xdr:cNvPr id="1086" name="Text Box 62">
          <a:extLst>
            <a:ext uri="{FF2B5EF4-FFF2-40B4-BE49-F238E27FC236}">
              <a16:creationId xmlns:a16="http://schemas.microsoft.com/office/drawing/2014/main" id="{5FF9BE84-7CA1-412B-B73F-16C6A7B347A1}"/>
            </a:ext>
          </a:extLst>
        </xdr:cNvPr>
        <xdr:cNvSpPr txBox="1">
          <a:spLocks noChangeArrowheads="1"/>
        </xdr:cNvSpPr>
      </xdr:nvSpPr>
      <xdr:spPr bwMode="auto">
        <a:xfrm>
          <a:off x="6791325" y="25117425"/>
          <a:ext cx="1905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T1</a:t>
          </a:r>
        </a:p>
      </xdr:txBody>
    </xdr:sp>
    <xdr:clientData/>
  </xdr:twoCellAnchor>
  <xdr:twoCellAnchor>
    <xdr:from>
      <xdr:col>10</xdr:col>
      <xdr:colOff>533400</xdr:colOff>
      <xdr:row>105</xdr:row>
      <xdr:rowOff>47625</xdr:rowOff>
    </xdr:from>
    <xdr:to>
      <xdr:col>11</xdr:col>
      <xdr:colOff>104775</xdr:colOff>
      <xdr:row>106</xdr:row>
      <xdr:rowOff>28575</xdr:rowOff>
    </xdr:to>
    <xdr:sp macro="" textlink="">
      <xdr:nvSpPr>
        <xdr:cNvPr id="1087" name="Text Box 63">
          <a:extLst>
            <a:ext uri="{FF2B5EF4-FFF2-40B4-BE49-F238E27FC236}">
              <a16:creationId xmlns:a16="http://schemas.microsoft.com/office/drawing/2014/main" id="{A8A79D15-22EA-47D1-B14D-60EFE5A18A20}"/>
            </a:ext>
          </a:extLst>
        </xdr:cNvPr>
        <xdr:cNvSpPr txBox="1">
          <a:spLocks noChangeArrowheads="1"/>
        </xdr:cNvSpPr>
      </xdr:nvSpPr>
      <xdr:spPr bwMode="auto">
        <a:xfrm>
          <a:off x="7496175" y="25060275"/>
          <a:ext cx="1809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10</xdr:col>
      <xdr:colOff>581025</xdr:colOff>
      <xdr:row>103</xdr:row>
      <xdr:rowOff>209550</xdr:rowOff>
    </xdr:from>
    <xdr:to>
      <xdr:col>11</xdr:col>
      <xdr:colOff>257175</xdr:colOff>
      <xdr:row>104</xdr:row>
      <xdr:rowOff>190500</xdr:rowOff>
    </xdr:to>
    <xdr:sp macro="" textlink="">
      <xdr:nvSpPr>
        <xdr:cNvPr id="1088" name="Text Box 64">
          <a:extLst>
            <a:ext uri="{FF2B5EF4-FFF2-40B4-BE49-F238E27FC236}">
              <a16:creationId xmlns:a16="http://schemas.microsoft.com/office/drawing/2014/main" id="{B148E2AB-6E81-425A-A6A8-2F319A1CBCEB}"/>
            </a:ext>
          </a:extLst>
        </xdr:cNvPr>
        <xdr:cNvSpPr txBox="1">
          <a:spLocks noChangeArrowheads="1"/>
        </xdr:cNvSpPr>
      </xdr:nvSpPr>
      <xdr:spPr bwMode="auto">
        <a:xfrm>
          <a:off x="7543800" y="24726900"/>
          <a:ext cx="2857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100</a:t>
          </a:r>
        </a:p>
      </xdr:txBody>
    </xdr:sp>
    <xdr:clientData/>
  </xdr:twoCellAnchor>
  <xdr:twoCellAnchor>
    <xdr:from>
      <xdr:col>0</xdr:col>
      <xdr:colOff>571500</xdr:colOff>
      <xdr:row>105</xdr:row>
      <xdr:rowOff>9525</xdr:rowOff>
    </xdr:from>
    <xdr:to>
      <xdr:col>1</xdr:col>
      <xdr:colOff>247650</xdr:colOff>
      <xdr:row>105</xdr:row>
      <xdr:rowOff>238125</xdr:rowOff>
    </xdr:to>
    <xdr:sp macro="" textlink="">
      <xdr:nvSpPr>
        <xdr:cNvPr id="1089" name="Text Box 65">
          <a:extLst>
            <a:ext uri="{FF2B5EF4-FFF2-40B4-BE49-F238E27FC236}">
              <a16:creationId xmlns:a16="http://schemas.microsoft.com/office/drawing/2014/main" id="{BC3A1296-C39B-46B9-B20B-51CBDC6E54C6}"/>
            </a:ext>
          </a:extLst>
        </xdr:cNvPr>
        <xdr:cNvSpPr txBox="1">
          <a:spLocks noChangeArrowheads="1"/>
        </xdr:cNvSpPr>
      </xdr:nvSpPr>
      <xdr:spPr bwMode="auto">
        <a:xfrm>
          <a:off x="571500" y="25022175"/>
          <a:ext cx="2857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100</a:t>
          </a:r>
        </a:p>
      </xdr:txBody>
    </xdr:sp>
    <xdr:clientData/>
  </xdr:twoCellAnchor>
  <xdr:twoCellAnchor>
    <xdr:from>
      <xdr:col>0</xdr:col>
      <xdr:colOff>581025</xdr:colOff>
      <xdr:row>103</xdr:row>
      <xdr:rowOff>161925</xdr:rowOff>
    </xdr:from>
    <xdr:to>
      <xdr:col>1</xdr:col>
      <xdr:colOff>152400</xdr:colOff>
      <xdr:row>104</xdr:row>
      <xdr:rowOff>142875</xdr:rowOff>
    </xdr:to>
    <xdr:sp macro="" textlink="">
      <xdr:nvSpPr>
        <xdr:cNvPr id="1090" name="Text Box 66">
          <a:extLst>
            <a:ext uri="{FF2B5EF4-FFF2-40B4-BE49-F238E27FC236}">
              <a16:creationId xmlns:a16="http://schemas.microsoft.com/office/drawing/2014/main" id="{47D38278-DBC2-405C-ADD3-3C8E9CEB341D}"/>
            </a:ext>
          </a:extLst>
        </xdr:cNvPr>
        <xdr:cNvSpPr txBox="1">
          <a:spLocks noChangeArrowheads="1"/>
        </xdr:cNvSpPr>
      </xdr:nvSpPr>
      <xdr:spPr bwMode="auto">
        <a:xfrm>
          <a:off x="581025" y="24679275"/>
          <a:ext cx="1809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5</xdr:col>
      <xdr:colOff>38100</xdr:colOff>
      <xdr:row>102</xdr:row>
      <xdr:rowOff>142875</xdr:rowOff>
    </xdr:from>
    <xdr:to>
      <xdr:col>5</xdr:col>
      <xdr:colOff>1095375</xdr:colOff>
      <xdr:row>103</xdr:row>
      <xdr:rowOff>114300</xdr:rowOff>
    </xdr:to>
    <xdr:sp macro="" textlink="">
      <xdr:nvSpPr>
        <xdr:cNvPr id="1091" name="Text Box 67">
          <a:extLst>
            <a:ext uri="{FF2B5EF4-FFF2-40B4-BE49-F238E27FC236}">
              <a16:creationId xmlns:a16="http://schemas.microsoft.com/office/drawing/2014/main" id="{037FE0E6-C55D-4F50-93D7-2E3DC2D4450C}"/>
            </a:ext>
          </a:extLst>
        </xdr:cNvPr>
        <xdr:cNvSpPr txBox="1">
          <a:spLocks noChangeArrowheads="1"/>
        </xdr:cNvSpPr>
      </xdr:nvSpPr>
      <xdr:spPr bwMode="auto">
        <a:xfrm>
          <a:off x="3086100" y="24412575"/>
          <a:ext cx="105727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Lọt khí từ OLTC</a:t>
          </a:r>
        </a:p>
      </xdr:txBody>
    </xdr:sp>
    <xdr:clientData/>
  </xdr:twoCellAnchor>
  <xdr:twoCellAnchor>
    <xdr:from>
      <xdr:col>0</xdr:col>
      <xdr:colOff>600075</xdr:colOff>
      <xdr:row>196</xdr:row>
      <xdr:rowOff>238125</xdr:rowOff>
    </xdr:from>
    <xdr:to>
      <xdr:col>11</xdr:col>
      <xdr:colOff>200025</xdr:colOff>
      <xdr:row>219</xdr:row>
      <xdr:rowOff>142875</xdr:rowOff>
    </xdr:to>
    <xdr:graphicFrame macro="">
      <xdr:nvGraphicFramePr>
        <xdr:cNvPr id="2668321" name="Chart 2">
          <a:extLst>
            <a:ext uri="{FF2B5EF4-FFF2-40B4-BE49-F238E27FC236}">
              <a16:creationId xmlns:a16="http://schemas.microsoft.com/office/drawing/2014/main" id="{2FD010A8-DF75-4261-9587-CEC2B31596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428625</xdr:colOff>
      <xdr:row>199</xdr:row>
      <xdr:rowOff>66674</xdr:rowOff>
    </xdr:from>
    <xdr:to>
      <xdr:col>5</xdr:col>
      <xdr:colOff>1019175</xdr:colOff>
      <xdr:row>200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E2ADE77-497A-4193-BE4D-66D2725EA478}"/>
            </a:ext>
          </a:extLst>
        </xdr:cNvPr>
        <xdr:cNvSpPr txBox="1"/>
      </xdr:nvSpPr>
      <xdr:spPr>
        <a:xfrm>
          <a:off x="3476625" y="48358424"/>
          <a:ext cx="590550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100  0</a:t>
          </a:r>
        </a:p>
      </xdr:txBody>
    </xdr:sp>
    <xdr:clientData/>
  </xdr:twoCellAnchor>
  <xdr:twoCellAnchor>
    <xdr:from>
      <xdr:col>0</xdr:col>
      <xdr:colOff>552450</xdr:colOff>
      <xdr:row>217</xdr:row>
      <xdr:rowOff>123825</xdr:rowOff>
    </xdr:from>
    <xdr:to>
      <xdr:col>1</xdr:col>
      <xdr:colOff>352425</xdr:colOff>
      <xdr:row>219</xdr:row>
      <xdr:rowOff>228600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3A6DC24-2F26-40E0-B3EE-7CA5650E9625}"/>
            </a:ext>
          </a:extLst>
        </xdr:cNvPr>
        <xdr:cNvSpPr txBox="1"/>
      </xdr:nvSpPr>
      <xdr:spPr>
        <a:xfrm>
          <a:off x="552450" y="52873275"/>
          <a:ext cx="4095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   </a:t>
          </a:r>
          <a:r>
            <a:rPr lang="en-US" sz="1100"/>
            <a:t>0 100</a:t>
          </a:r>
        </a:p>
      </xdr:txBody>
    </xdr:sp>
    <xdr:clientData/>
  </xdr:twoCellAnchor>
  <xdr:twoCellAnchor>
    <xdr:from>
      <xdr:col>2</xdr:col>
      <xdr:colOff>542925</xdr:colOff>
      <xdr:row>207</xdr:row>
      <xdr:rowOff>161924</xdr:rowOff>
    </xdr:from>
    <xdr:to>
      <xdr:col>3</xdr:col>
      <xdr:colOff>438150</xdr:colOff>
      <xdr:row>209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2DFDBD-96AB-4A87-A1B6-0EB86B619BBC}"/>
            </a:ext>
          </a:extLst>
        </xdr:cNvPr>
        <xdr:cNvSpPr txBox="1"/>
      </xdr:nvSpPr>
      <xdr:spPr>
        <a:xfrm>
          <a:off x="1762125" y="50434874"/>
          <a:ext cx="504825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%H2↗</a:t>
          </a:r>
        </a:p>
      </xdr:txBody>
    </xdr:sp>
    <xdr:clientData/>
  </xdr:twoCellAnchor>
  <xdr:twoCellAnchor>
    <xdr:from>
      <xdr:col>5</xdr:col>
      <xdr:colOff>1066800</xdr:colOff>
      <xdr:row>201</xdr:row>
      <xdr:rowOff>76200</xdr:rowOff>
    </xdr:from>
    <xdr:to>
      <xdr:col>6</xdr:col>
      <xdr:colOff>57150</xdr:colOff>
      <xdr:row>202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B20964A-0B2C-40CE-AEF2-36C9576880C7}"/>
            </a:ext>
          </a:extLst>
        </xdr:cNvPr>
        <xdr:cNvSpPr txBox="1"/>
      </xdr:nvSpPr>
      <xdr:spPr>
        <a:xfrm>
          <a:off x="4114800" y="48863250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PD</a:t>
          </a:r>
        </a:p>
      </xdr:txBody>
    </xdr:sp>
    <xdr:clientData/>
  </xdr:twoCellAnchor>
  <xdr:twoCellAnchor>
    <xdr:from>
      <xdr:col>2</xdr:col>
      <xdr:colOff>209550</xdr:colOff>
      <xdr:row>212</xdr:row>
      <xdr:rowOff>9525</xdr:rowOff>
    </xdr:from>
    <xdr:to>
      <xdr:col>2</xdr:col>
      <xdr:colOff>600075</xdr:colOff>
      <xdr:row>212</xdr:row>
      <xdr:rowOff>238125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C874C28-7FAF-4E28-8BAC-4C8D3C257A2F}"/>
            </a:ext>
          </a:extLst>
        </xdr:cNvPr>
        <xdr:cNvSpPr txBox="1"/>
      </xdr:nvSpPr>
      <xdr:spPr>
        <a:xfrm>
          <a:off x="1428750" y="51520725"/>
          <a:ext cx="3905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ND</a:t>
          </a:r>
        </a:p>
      </xdr:txBody>
    </xdr:sp>
    <xdr:clientData/>
  </xdr:twoCellAnchor>
  <xdr:twoCellAnchor>
    <xdr:from>
      <xdr:col>0</xdr:col>
      <xdr:colOff>400050</xdr:colOff>
      <xdr:row>225</xdr:row>
      <xdr:rowOff>19050</xdr:rowOff>
    </xdr:from>
    <xdr:to>
      <xdr:col>10</xdr:col>
      <xdr:colOff>552450</xdr:colOff>
      <xdr:row>246</xdr:row>
      <xdr:rowOff>38100</xdr:rowOff>
    </xdr:to>
    <xdr:graphicFrame macro="">
      <xdr:nvGraphicFramePr>
        <xdr:cNvPr id="2668327" name="Chart 10">
          <a:extLst>
            <a:ext uri="{FF2B5EF4-FFF2-40B4-BE49-F238E27FC236}">
              <a16:creationId xmlns:a16="http://schemas.microsoft.com/office/drawing/2014/main" id="{55F36A6C-7FF6-443D-BBFB-5575454790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428625</xdr:colOff>
      <xdr:row>232</xdr:row>
      <xdr:rowOff>209550</xdr:rowOff>
    </xdr:from>
    <xdr:to>
      <xdr:col>3</xdr:col>
      <xdr:colOff>285750</xdr:colOff>
      <xdr:row>234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7CF12F2-3191-4725-983C-904DCDAB888D}"/>
            </a:ext>
          </a:extLst>
        </xdr:cNvPr>
        <xdr:cNvSpPr txBox="1"/>
      </xdr:nvSpPr>
      <xdr:spPr>
        <a:xfrm>
          <a:off x="1647825" y="57140475"/>
          <a:ext cx="4667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CH4 ↗</a:t>
          </a:r>
        </a:p>
      </xdr:txBody>
    </xdr:sp>
    <xdr:clientData/>
  </xdr:twoCellAnchor>
  <xdr:twoCellAnchor>
    <xdr:from>
      <xdr:col>5</xdr:col>
      <xdr:colOff>428625</xdr:colOff>
      <xdr:row>245</xdr:row>
      <xdr:rowOff>228600</xdr:rowOff>
    </xdr:from>
    <xdr:to>
      <xdr:col>5</xdr:col>
      <xdr:colOff>1162050</xdr:colOff>
      <xdr:row>247</xdr:row>
      <xdr:rowOff>47625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48289E1-15A7-4629-9150-062727B13AD1}"/>
            </a:ext>
          </a:extLst>
        </xdr:cNvPr>
        <xdr:cNvSpPr txBox="1"/>
      </xdr:nvSpPr>
      <xdr:spPr>
        <a:xfrm>
          <a:off x="3476625" y="60378975"/>
          <a:ext cx="7334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←C2H6</a:t>
          </a:r>
        </a:p>
      </xdr:txBody>
    </xdr:sp>
    <xdr:clientData/>
  </xdr:twoCellAnchor>
  <xdr:twoCellAnchor>
    <xdr:from>
      <xdr:col>5</xdr:col>
      <xdr:colOff>19050</xdr:colOff>
      <xdr:row>227</xdr:row>
      <xdr:rowOff>57150</xdr:rowOff>
    </xdr:from>
    <xdr:to>
      <xdr:col>5</xdr:col>
      <xdr:colOff>628650</xdr:colOff>
      <xdr:row>228</xdr:row>
      <xdr:rowOff>28575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9758056-CEDA-449B-96D8-A02279C4483D}"/>
            </a:ext>
          </a:extLst>
        </xdr:cNvPr>
        <xdr:cNvSpPr txBox="1"/>
      </xdr:nvSpPr>
      <xdr:spPr>
        <a:xfrm>
          <a:off x="3067050" y="55749825"/>
          <a:ext cx="6096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100    0</a:t>
          </a:r>
        </a:p>
      </xdr:txBody>
    </xdr:sp>
    <xdr:clientData/>
  </xdr:twoCellAnchor>
  <xdr:twoCellAnchor>
    <xdr:from>
      <xdr:col>0</xdr:col>
      <xdr:colOff>76201</xdr:colOff>
      <xdr:row>244</xdr:row>
      <xdr:rowOff>228599</xdr:rowOff>
    </xdr:from>
    <xdr:to>
      <xdr:col>0</xdr:col>
      <xdr:colOff>495301</xdr:colOff>
      <xdr:row>247</xdr:row>
      <xdr:rowOff>28574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61E9EC8-1D01-42AF-A036-EC0B340C3EAD}"/>
            </a:ext>
          </a:extLst>
        </xdr:cNvPr>
        <xdr:cNvSpPr txBox="1"/>
      </xdr:nvSpPr>
      <xdr:spPr>
        <a:xfrm>
          <a:off x="76201" y="60131324"/>
          <a:ext cx="4191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</a:t>
          </a:r>
        </a:p>
        <a:p>
          <a:r>
            <a:rPr lang="en-US" sz="1100"/>
            <a:t>    0</a:t>
          </a:r>
        </a:p>
      </xdr:txBody>
    </xdr:sp>
    <xdr:clientData/>
  </xdr:twoCellAnchor>
  <xdr:twoCellAnchor>
    <xdr:from>
      <xdr:col>8</xdr:col>
      <xdr:colOff>590550</xdr:colOff>
      <xdr:row>244</xdr:row>
      <xdr:rowOff>171450</xdr:rowOff>
    </xdr:from>
    <xdr:to>
      <xdr:col>9</xdr:col>
      <xdr:colOff>552450</xdr:colOff>
      <xdr:row>246</xdr:row>
      <xdr:rowOff>180975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57E6DA1-EA22-4C1A-9D86-8072E1340C09}"/>
            </a:ext>
          </a:extLst>
        </xdr:cNvPr>
        <xdr:cNvSpPr txBox="1"/>
      </xdr:nvSpPr>
      <xdr:spPr>
        <a:xfrm>
          <a:off x="6334125" y="60074175"/>
          <a:ext cx="5715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</a:t>
          </a:r>
        </a:p>
        <a:p>
          <a:r>
            <a:rPr lang="en-US" sz="1100"/>
            <a:t>0</a:t>
          </a:r>
        </a:p>
      </xdr:txBody>
    </xdr:sp>
    <xdr:clientData/>
  </xdr:twoCellAnchor>
  <xdr:twoCellAnchor>
    <xdr:from>
      <xdr:col>5</xdr:col>
      <xdr:colOff>638175</xdr:colOff>
      <xdr:row>232</xdr:row>
      <xdr:rowOff>161925</xdr:rowOff>
    </xdr:from>
    <xdr:to>
      <xdr:col>5</xdr:col>
      <xdr:colOff>990600</xdr:colOff>
      <xdr:row>233</xdr:row>
      <xdr:rowOff>219075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9D06878-231C-47FB-959D-122EBF9AE180}"/>
            </a:ext>
          </a:extLst>
        </xdr:cNvPr>
        <xdr:cNvSpPr txBox="1"/>
      </xdr:nvSpPr>
      <xdr:spPr>
        <a:xfrm>
          <a:off x="3686175" y="57092850"/>
          <a:ext cx="3524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T2</a:t>
          </a:r>
        </a:p>
      </xdr:txBody>
    </xdr:sp>
    <xdr:clientData/>
  </xdr:twoCellAnchor>
  <xdr:twoCellAnchor>
    <xdr:from>
      <xdr:col>5</xdr:col>
      <xdr:colOff>352426</xdr:colOff>
      <xdr:row>235</xdr:row>
      <xdr:rowOff>133350</xdr:rowOff>
    </xdr:from>
    <xdr:to>
      <xdr:col>5</xdr:col>
      <xdr:colOff>600076</xdr:colOff>
      <xdr:row>236</xdr:row>
      <xdr:rowOff>180975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AE0431F-0707-4514-880F-854402FD39C7}"/>
            </a:ext>
          </a:extLst>
        </xdr:cNvPr>
        <xdr:cNvSpPr txBox="1"/>
      </xdr:nvSpPr>
      <xdr:spPr>
        <a:xfrm>
          <a:off x="3400426" y="57807225"/>
          <a:ext cx="2476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</a:t>
          </a:r>
        </a:p>
      </xdr:txBody>
    </xdr:sp>
    <xdr:clientData/>
  </xdr:twoCellAnchor>
  <xdr:twoCellAnchor>
    <xdr:from>
      <xdr:col>4</xdr:col>
      <xdr:colOff>19050</xdr:colOff>
      <xdr:row>234</xdr:row>
      <xdr:rowOff>180974</xdr:rowOff>
    </xdr:from>
    <xdr:to>
      <xdr:col>4</xdr:col>
      <xdr:colOff>304800</xdr:colOff>
      <xdr:row>235</xdr:row>
      <xdr:rowOff>114299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BCBDBEA-CF9D-40E3-ABBD-98CA51C3E1DA}"/>
            </a:ext>
          </a:extLst>
        </xdr:cNvPr>
        <xdr:cNvSpPr txBox="1"/>
      </xdr:nvSpPr>
      <xdr:spPr>
        <a:xfrm>
          <a:off x="2457450" y="57607199"/>
          <a:ext cx="2857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</a:t>
          </a:r>
        </a:p>
      </xdr:txBody>
    </xdr:sp>
    <xdr:clientData/>
  </xdr:twoCellAnchor>
  <xdr:twoCellAnchor>
    <xdr:from>
      <xdr:col>2</xdr:col>
      <xdr:colOff>28575</xdr:colOff>
      <xdr:row>241</xdr:row>
      <xdr:rowOff>200025</xdr:rowOff>
    </xdr:from>
    <xdr:to>
      <xdr:col>2</xdr:col>
      <xdr:colOff>266700</xdr:colOff>
      <xdr:row>242</xdr:row>
      <xdr:rowOff>190500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E9CD2EA-D7E1-4DB5-AFBA-D3746B471535}"/>
            </a:ext>
          </a:extLst>
        </xdr:cNvPr>
        <xdr:cNvSpPr txBox="1"/>
      </xdr:nvSpPr>
      <xdr:spPr>
        <a:xfrm>
          <a:off x="1247775" y="59359800"/>
          <a:ext cx="238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</a:t>
          </a:r>
        </a:p>
      </xdr:txBody>
    </xdr:sp>
    <xdr:clientData/>
  </xdr:twoCellAnchor>
  <xdr:twoCellAnchor>
    <xdr:from>
      <xdr:col>5</xdr:col>
      <xdr:colOff>266700</xdr:colOff>
      <xdr:row>243</xdr:row>
      <xdr:rowOff>38100</xdr:rowOff>
    </xdr:from>
    <xdr:to>
      <xdr:col>5</xdr:col>
      <xdr:colOff>600075</xdr:colOff>
      <xdr:row>244</xdr:row>
      <xdr:rowOff>85725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7DF8C5C-52C0-4796-AAF3-092523E4828F}"/>
            </a:ext>
          </a:extLst>
        </xdr:cNvPr>
        <xdr:cNvSpPr txBox="1"/>
      </xdr:nvSpPr>
      <xdr:spPr>
        <a:xfrm>
          <a:off x="3314700" y="59693175"/>
          <a:ext cx="3333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T3</a:t>
          </a:r>
        </a:p>
      </xdr:txBody>
    </xdr:sp>
    <xdr:clientData/>
  </xdr:twoCellAnchor>
  <xdr:twoCellAnchor>
    <xdr:from>
      <xdr:col>5</xdr:col>
      <xdr:colOff>152400</xdr:colOff>
      <xdr:row>230</xdr:row>
      <xdr:rowOff>38100</xdr:rowOff>
    </xdr:from>
    <xdr:to>
      <xdr:col>5</xdr:col>
      <xdr:colOff>419100</xdr:colOff>
      <xdr:row>231</xdr:row>
      <xdr:rowOff>28575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3FDB738-2A6C-4D4E-BD5D-128E0D83CD49}"/>
            </a:ext>
          </a:extLst>
        </xdr:cNvPr>
        <xdr:cNvSpPr txBox="1"/>
      </xdr:nvSpPr>
      <xdr:spPr>
        <a:xfrm>
          <a:off x="3200400" y="56473725"/>
          <a:ext cx="2667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</a:t>
          </a:r>
        </a:p>
      </xdr:txBody>
    </xdr:sp>
    <xdr:clientData/>
  </xdr:twoCellAnchor>
  <xdr:twoCellAnchor>
    <xdr:from>
      <xdr:col>4</xdr:col>
      <xdr:colOff>180976</xdr:colOff>
      <xdr:row>229</xdr:row>
      <xdr:rowOff>66675</xdr:rowOff>
    </xdr:from>
    <xdr:to>
      <xdr:col>5</xdr:col>
      <xdr:colOff>28576</xdr:colOff>
      <xdr:row>230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6938DEA-8788-4512-B6D8-75DC32DA399C}"/>
            </a:ext>
          </a:extLst>
        </xdr:cNvPr>
        <xdr:cNvSpPr txBox="1"/>
      </xdr:nvSpPr>
      <xdr:spPr>
        <a:xfrm>
          <a:off x="2619376" y="5625465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PD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136</xdr:row>
          <xdr:rowOff>228600</xdr:rowOff>
        </xdr:from>
        <xdr:to>
          <xdr:col>2</xdr:col>
          <xdr:colOff>561975</xdr:colOff>
          <xdr:row>138</xdr:row>
          <xdr:rowOff>171450</xdr:rowOff>
        </xdr:to>
        <xdr:sp macro="" textlink="">
          <xdr:nvSpPr>
            <xdr:cNvPr id="1268275" name="ComboBox1" hidden="1">
              <a:extLst>
                <a:ext uri="{63B3BB69-23CF-44E3-9099-C40C66FF867C}">
                  <a14:compatExt spid="_x0000_s1268275"/>
                </a:ext>
                <a:ext uri="{FF2B5EF4-FFF2-40B4-BE49-F238E27FC236}">
                  <a16:creationId xmlns:a16="http://schemas.microsoft.com/office/drawing/2014/main" id="{7651C1C3-2E90-4C37-BB87-68F0503737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158</xdr:row>
          <xdr:rowOff>28575</xdr:rowOff>
        </xdr:from>
        <xdr:to>
          <xdr:col>2</xdr:col>
          <xdr:colOff>0</xdr:colOff>
          <xdr:row>159</xdr:row>
          <xdr:rowOff>161925</xdr:rowOff>
        </xdr:to>
        <xdr:sp macro="" textlink="">
          <xdr:nvSpPr>
            <xdr:cNvPr id="1268434" name="ComboBox2" hidden="1">
              <a:extLst>
                <a:ext uri="{63B3BB69-23CF-44E3-9099-C40C66FF867C}">
                  <a14:compatExt spid="_x0000_s1268434"/>
                </a:ext>
                <a:ext uri="{FF2B5EF4-FFF2-40B4-BE49-F238E27FC236}">
                  <a16:creationId xmlns:a16="http://schemas.microsoft.com/office/drawing/2014/main" id="{BE6A05E9-BD28-450B-BB86-89393AC90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561975</xdr:colOff>
      <xdr:row>250</xdr:row>
      <xdr:rowOff>47625</xdr:rowOff>
    </xdr:from>
    <xdr:to>
      <xdr:col>20</xdr:col>
      <xdr:colOff>419100</xdr:colOff>
      <xdr:row>272</xdr:row>
      <xdr:rowOff>38100</xdr:rowOff>
    </xdr:to>
    <xdr:graphicFrame macro="">
      <xdr:nvGraphicFramePr>
        <xdr:cNvPr id="2668340" name="Chart 89">
          <a:extLst>
            <a:ext uri="{FF2B5EF4-FFF2-40B4-BE49-F238E27FC236}">
              <a16:creationId xmlns:a16="http://schemas.microsoft.com/office/drawing/2014/main" id="{10B7C21A-D992-4271-AFEC-34A3EA3EB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250</xdr:row>
      <xdr:rowOff>0</xdr:rowOff>
    </xdr:from>
    <xdr:to>
      <xdr:col>9</xdr:col>
      <xdr:colOff>209550</xdr:colOff>
      <xdr:row>272</xdr:row>
      <xdr:rowOff>0</xdr:rowOff>
    </xdr:to>
    <xdr:graphicFrame macro="">
      <xdr:nvGraphicFramePr>
        <xdr:cNvPr id="2668341" name="Chart 93">
          <a:extLst>
            <a:ext uri="{FF2B5EF4-FFF2-40B4-BE49-F238E27FC236}">
              <a16:creationId xmlns:a16="http://schemas.microsoft.com/office/drawing/2014/main" id="{366035A6-E0FB-4B2F-875C-6788CB5B4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1228726</xdr:colOff>
      <xdr:row>258</xdr:row>
      <xdr:rowOff>180975</xdr:rowOff>
    </xdr:from>
    <xdr:to>
      <xdr:col>6</xdr:col>
      <xdr:colOff>95251</xdr:colOff>
      <xdr:row>259</xdr:row>
      <xdr:rowOff>209550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1712BED-022D-4F84-B9E0-80E9C6A7B285}"/>
            </a:ext>
          </a:extLst>
        </xdr:cNvPr>
        <xdr:cNvSpPr txBox="1"/>
      </xdr:nvSpPr>
      <xdr:spPr>
        <a:xfrm>
          <a:off x="4276726" y="64046100"/>
          <a:ext cx="3429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D1</a:t>
          </a:r>
        </a:p>
      </xdr:txBody>
    </xdr:sp>
    <xdr:clientData/>
  </xdr:twoCellAnchor>
  <xdr:twoCellAnchor>
    <xdr:from>
      <xdr:col>4</xdr:col>
      <xdr:colOff>419100</xdr:colOff>
      <xdr:row>267</xdr:row>
      <xdr:rowOff>171450</xdr:rowOff>
    </xdr:from>
    <xdr:to>
      <xdr:col>5</xdr:col>
      <xdr:colOff>133350</xdr:colOff>
      <xdr:row>268</xdr:row>
      <xdr:rowOff>180975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3C137B8-D794-429B-9310-7736B2DD5E16}"/>
            </a:ext>
          </a:extLst>
        </xdr:cNvPr>
        <xdr:cNvSpPr txBox="1"/>
      </xdr:nvSpPr>
      <xdr:spPr>
        <a:xfrm>
          <a:off x="2857500" y="66265425"/>
          <a:ext cx="3238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T2</a:t>
          </a:r>
        </a:p>
      </xdr:txBody>
    </xdr:sp>
    <xdr:clientData/>
  </xdr:twoCellAnchor>
  <xdr:twoCellAnchor>
    <xdr:from>
      <xdr:col>5</xdr:col>
      <xdr:colOff>66675</xdr:colOff>
      <xdr:row>256</xdr:row>
      <xdr:rowOff>114300</xdr:rowOff>
    </xdr:from>
    <xdr:to>
      <xdr:col>5</xdr:col>
      <xdr:colOff>409575</xdr:colOff>
      <xdr:row>257</xdr:row>
      <xdr:rowOff>152400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79178BF-6568-4D4D-9A84-2B6232A2BC58}"/>
            </a:ext>
          </a:extLst>
        </xdr:cNvPr>
        <xdr:cNvSpPr txBox="1"/>
      </xdr:nvSpPr>
      <xdr:spPr>
        <a:xfrm>
          <a:off x="3114675" y="63484125"/>
          <a:ext cx="3429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PD</a:t>
          </a:r>
        </a:p>
      </xdr:txBody>
    </xdr:sp>
    <xdr:clientData/>
  </xdr:twoCellAnchor>
  <xdr:twoCellAnchor>
    <xdr:from>
      <xdr:col>3</xdr:col>
      <xdr:colOff>0</xdr:colOff>
      <xdr:row>270</xdr:row>
      <xdr:rowOff>47625</xdr:rowOff>
    </xdr:from>
    <xdr:to>
      <xdr:col>4</xdr:col>
      <xdr:colOff>180975</xdr:colOff>
      <xdr:row>271</xdr:row>
      <xdr:rowOff>66675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171A03D-C46E-4E77-AE51-6E5AEF216BAF}"/>
            </a:ext>
          </a:extLst>
        </xdr:cNvPr>
        <xdr:cNvSpPr txBox="1"/>
      </xdr:nvSpPr>
      <xdr:spPr>
        <a:xfrm>
          <a:off x="1828800" y="66884550"/>
          <a:ext cx="7905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CH4-40%</a:t>
          </a:r>
        </a:p>
      </xdr:txBody>
    </xdr:sp>
    <xdr:clientData/>
  </xdr:twoCellAnchor>
  <xdr:twoCellAnchor>
    <xdr:from>
      <xdr:col>13</xdr:col>
      <xdr:colOff>238125</xdr:colOff>
      <xdr:row>259</xdr:row>
      <xdr:rowOff>28575</xdr:rowOff>
    </xdr:from>
    <xdr:to>
      <xdr:col>13</xdr:col>
      <xdr:colOff>533400</xdr:colOff>
      <xdr:row>260</xdr:row>
      <xdr:rowOff>66675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59B9757-9984-4493-A93F-DD8068814BF3}"/>
            </a:ext>
          </a:extLst>
        </xdr:cNvPr>
        <xdr:cNvSpPr txBox="1"/>
      </xdr:nvSpPr>
      <xdr:spPr>
        <a:xfrm>
          <a:off x="9029700" y="64141350"/>
          <a:ext cx="2952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</a:t>
          </a:r>
        </a:p>
      </xdr:txBody>
    </xdr:sp>
    <xdr:clientData/>
  </xdr:twoCellAnchor>
  <xdr:twoCellAnchor>
    <xdr:from>
      <xdr:col>17</xdr:col>
      <xdr:colOff>19050</xdr:colOff>
      <xdr:row>258</xdr:row>
      <xdr:rowOff>76200</xdr:rowOff>
    </xdr:from>
    <xdr:to>
      <xdr:col>17</xdr:col>
      <xdr:colOff>371475</xdr:colOff>
      <xdr:row>259</xdr:row>
      <xdr:rowOff>66675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5D03ACE-62E2-481A-A0B8-A2AE0C57FA90}"/>
            </a:ext>
          </a:extLst>
        </xdr:cNvPr>
        <xdr:cNvSpPr txBox="1"/>
      </xdr:nvSpPr>
      <xdr:spPr>
        <a:xfrm>
          <a:off x="11249025" y="63941325"/>
          <a:ext cx="3524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D1</a:t>
          </a:r>
        </a:p>
      </xdr:txBody>
    </xdr:sp>
    <xdr:clientData/>
  </xdr:twoCellAnchor>
  <xdr:twoCellAnchor>
    <xdr:from>
      <xdr:col>16</xdr:col>
      <xdr:colOff>523875</xdr:colOff>
      <xdr:row>263</xdr:row>
      <xdr:rowOff>114300</xdr:rowOff>
    </xdr:from>
    <xdr:to>
      <xdr:col>17</xdr:col>
      <xdr:colOff>285750</xdr:colOff>
      <xdr:row>264</xdr:row>
      <xdr:rowOff>133350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99BA45D-8356-4952-BF91-66A6FCE3EEFC}"/>
            </a:ext>
          </a:extLst>
        </xdr:cNvPr>
        <xdr:cNvSpPr txBox="1"/>
      </xdr:nvSpPr>
      <xdr:spPr>
        <a:xfrm>
          <a:off x="11144250" y="65217675"/>
          <a:ext cx="371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D2</a:t>
          </a:r>
        </a:p>
      </xdr:txBody>
    </xdr:sp>
    <xdr:clientData/>
  </xdr:twoCellAnchor>
  <xdr:twoCellAnchor>
    <xdr:from>
      <xdr:col>16</xdr:col>
      <xdr:colOff>180975</xdr:colOff>
      <xdr:row>267</xdr:row>
      <xdr:rowOff>161925</xdr:rowOff>
    </xdr:from>
    <xdr:to>
      <xdr:col>17</xdr:col>
      <xdr:colOff>66675</xdr:colOff>
      <xdr:row>268</xdr:row>
      <xdr:rowOff>171450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40E300B9-2B93-4BEF-A5AE-4B823D54A504}"/>
            </a:ext>
          </a:extLst>
        </xdr:cNvPr>
        <xdr:cNvSpPr txBox="1"/>
      </xdr:nvSpPr>
      <xdr:spPr>
        <a:xfrm>
          <a:off x="10801350" y="66255900"/>
          <a:ext cx="4953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T3-H</a:t>
          </a:r>
        </a:p>
      </xdr:txBody>
    </xdr:sp>
    <xdr:clientData/>
  </xdr:twoCellAnchor>
  <xdr:twoCellAnchor>
    <xdr:from>
      <xdr:col>14</xdr:col>
      <xdr:colOff>438150</xdr:colOff>
      <xdr:row>267</xdr:row>
      <xdr:rowOff>142875</xdr:rowOff>
    </xdr:from>
    <xdr:to>
      <xdr:col>15</xdr:col>
      <xdr:colOff>152400</xdr:colOff>
      <xdr:row>268</xdr:row>
      <xdr:rowOff>171450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2964411-9BC3-46A6-AF9B-7BCFBB1F31C7}"/>
            </a:ext>
          </a:extLst>
        </xdr:cNvPr>
        <xdr:cNvSpPr txBox="1"/>
      </xdr:nvSpPr>
      <xdr:spPr>
        <a:xfrm>
          <a:off x="9839325" y="66236850"/>
          <a:ext cx="3238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</a:t>
          </a:r>
        </a:p>
      </xdr:txBody>
    </xdr:sp>
    <xdr:clientData/>
  </xdr:twoCellAnchor>
  <xdr:twoCellAnchor>
    <xdr:from>
      <xdr:col>13</xdr:col>
      <xdr:colOff>371475</xdr:colOff>
      <xdr:row>264</xdr:row>
      <xdr:rowOff>47625</xdr:rowOff>
    </xdr:from>
    <xdr:to>
      <xdr:col>14</xdr:col>
      <xdr:colOff>28575</xdr:colOff>
      <xdr:row>265</xdr:row>
      <xdr:rowOff>104775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F5B8E9-4A39-47D2-9863-833F726FF973}"/>
            </a:ext>
          </a:extLst>
        </xdr:cNvPr>
        <xdr:cNvSpPr txBox="1"/>
      </xdr:nvSpPr>
      <xdr:spPr>
        <a:xfrm>
          <a:off x="9163050" y="65398650"/>
          <a:ext cx="2667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</a:t>
          </a:r>
        </a:p>
      </xdr:txBody>
    </xdr:sp>
    <xdr:clientData/>
  </xdr:twoCellAnchor>
  <xdr:twoCellAnchor editAs="oneCell">
    <xdr:from>
      <xdr:col>17</xdr:col>
      <xdr:colOff>0</xdr:colOff>
      <xdr:row>225</xdr:row>
      <xdr:rowOff>123825</xdr:rowOff>
    </xdr:from>
    <xdr:to>
      <xdr:col>28</xdr:col>
      <xdr:colOff>113448</xdr:colOff>
      <xdr:row>244</xdr:row>
      <xdr:rowOff>66675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BE1AA0DE-6766-49F9-ACEA-AFA54FA7E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29975" y="55816500"/>
          <a:ext cx="6819048" cy="46482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>
          <a:softEdge rad="112500"/>
        </a:effec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0.17687</cdr:x>
      <cdr:y>0.46993</cdr:y>
    </cdr:from>
    <cdr:to>
      <cdr:x>0.21837</cdr:x>
      <cdr:y>0.49655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26734" y="3176719"/>
          <a:ext cx="334042" cy="17976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%H2</a:t>
          </a:r>
        </a:p>
      </cdr:txBody>
    </cdr:sp>
  </cdr:relSizeAnchor>
  <cdr:relSizeAnchor xmlns:cdr="http://schemas.openxmlformats.org/drawingml/2006/chartDrawing">
    <cdr:from>
      <cdr:x>0.52075</cdr:x>
      <cdr:y>0.05684</cdr:y>
    </cdr:from>
    <cdr:to>
      <cdr:x>0.56324</cdr:x>
      <cdr:y>0.08247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94508" y="387028"/>
          <a:ext cx="341996" cy="1731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cdr:txBody>
    </cdr:sp>
  </cdr:relSizeAnchor>
  <cdr:relSizeAnchor xmlns:cdr="http://schemas.openxmlformats.org/drawingml/2006/chartDrawing">
    <cdr:from>
      <cdr:x>0.44664</cdr:x>
      <cdr:y>0.05684</cdr:y>
    </cdr:from>
    <cdr:to>
      <cdr:x>0.48617</cdr:x>
      <cdr:y>0.08839</cdr:y>
    </cdr:to>
    <cdr:sp macro="" textlink="">
      <cdr:nvSpPr>
        <cdr:cNvPr id="4100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98005" y="387028"/>
          <a:ext cx="318135" cy="213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100</a:t>
          </a:r>
        </a:p>
      </cdr:txBody>
    </cdr:sp>
  </cdr:relSizeAnchor>
  <cdr:relSizeAnchor xmlns:cdr="http://schemas.openxmlformats.org/drawingml/2006/chartDrawing">
    <cdr:from>
      <cdr:x>0.54941</cdr:x>
      <cdr:y>0.09825</cdr:y>
    </cdr:from>
    <cdr:to>
      <cdr:x>0.58696</cdr:x>
      <cdr:y>0.1298</cdr:y>
    </cdr:to>
    <cdr:sp macro="" textlink="">
      <cdr:nvSpPr>
        <cdr:cNvPr id="4101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25156" y="666663"/>
          <a:ext cx="302229" cy="213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PD</a:t>
          </a:r>
        </a:p>
      </cdr:txBody>
    </cdr:sp>
  </cdr:relSizeAnchor>
  <cdr:relSizeAnchor xmlns:cdr="http://schemas.openxmlformats.org/drawingml/2006/chartDrawing">
    <cdr:from>
      <cdr:x>0.79052</cdr:x>
      <cdr:y>0.81006</cdr:y>
    </cdr:from>
    <cdr:to>
      <cdr:x>0.80633</cdr:x>
      <cdr:y>0.85246</cdr:y>
    </cdr:to>
    <cdr:sp macro="" textlink="">
      <cdr:nvSpPr>
        <cdr:cNvPr id="4102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5780" y="5473721"/>
          <a:ext cx="127254" cy="2862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0.42292</cdr:x>
      <cdr:y>0.50468</cdr:y>
    </cdr:from>
    <cdr:to>
      <cdr:x>0.45949</cdr:x>
      <cdr:y>0.53426</cdr:y>
    </cdr:to>
    <cdr:sp macro="" textlink="">
      <cdr:nvSpPr>
        <cdr:cNvPr id="4107" name="Text Box 1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07124" y="3411413"/>
          <a:ext cx="294275" cy="1997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D1</a:t>
          </a:r>
        </a:p>
      </cdr:txBody>
    </cdr:sp>
  </cdr:relSizeAnchor>
  <cdr:relSizeAnchor xmlns:cdr="http://schemas.openxmlformats.org/drawingml/2006/chartDrawing">
    <cdr:from>
      <cdr:x>0.53459</cdr:x>
      <cdr:y>0.67253</cdr:y>
    </cdr:from>
    <cdr:to>
      <cdr:x>0.57016</cdr:x>
      <cdr:y>0.70433</cdr:y>
    </cdr:to>
    <cdr:sp macro="" textlink="">
      <cdr:nvSpPr>
        <cdr:cNvPr id="4108" name="Text Box 1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5856" y="4544933"/>
          <a:ext cx="286321" cy="2147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D2</a:t>
          </a:r>
        </a:p>
      </cdr:txBody>
    </cdr:sp>
  </cdr:relSizeAnchor>
  <cdr:relSizeAnchor xmlns:cdr="http://schemas.openxmlformats.org/drawingml/2006/chartDrawing">
    <cdr:from>
      <cdr:x>0.69467</cdr:x>
      <cdr:y>0.58972</cdr:y>
    </cdr:from>
    <cdr:to>
      <cdr:x>0.72827</cdr:x>
      <cdr:y>0.62028</cdr:y>
    </cdr:to>
    <cdr:sp macro="" textlink="">
      <cdr:nvSpPr>
        <cdr:cNvPr id="4109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94302" y="3985663"/>
          <a:ext cx="270415" cy="2063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T3</a:t>
          </a:r>
        </a:p>
      </cdr:txBody>
    </cdr:sp>
  </cdr:relSizeAnchor>
  <cdr:relSizeAnchor xmlns:cdr="http://schemas.openxmlformats.org/drawingml/2006/chartDrawing">
    <cdr:from>
      <cdr:x>0.82511</cdr:x>
      <cdr:y>0.77556</cdr:y>
    </cdr:from>
    <cdr:to>
      <cdr:x>0.85376</cdr:x>
      <cdr:y>0.80908</cdr:y>
    </cdr:to>
    <cdr:sp macro="" textlink="">
      <cdr:nvSpPr>
        <cdr:cNvPr id="4110" name="Text Box 1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44148" y="5240692"/>
          <a:ext cx="230648" cy="2263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</cdr:txBody>
    </cdr:sp>
  </cdr:relSizeAnchor>
  <cdr:relSizeAnchor xmlns:cdr="http://schemas.openxmlformats.org/drawingml/2006/chartDrawing">
    <cdr:from>
      <cdr:x>0.72728</cdr:x>
      <cdr:y>0.81006</cdr:y>
    </cdr:from>
    <cdr:to>
      <cdr:x>0.75495</cdr:x>
      <cdr:y>0.85246</cdr:y>
    </cdr:to>
    <cdr:sp macro="" textlink="">
      <cdr:nvSpPr>
        <cdr:cNvPr id="4111" name="Text Box 1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56764" y="5473721"/>
          <a:ext cx="222694" cy="2862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0.77669</cdr:x>
      <cdr:y>0.4581</cdr:y>
    </cdr:from>
    <cdr:to>
      <cdr:x>0.83894</cdr:x>
      <cdr:y>0.48373</cdr:y>
    </cdr:to>
    <cdr:sp macro="" textlink="">
      <cdr:nvSpPr>
        <cdr:cNvPr id="4112" name="Text Box 1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254433" y="3096824"/>
          <a:ext cx="501062" cy="1731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%CH4+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0.00975</cdr:x>
      <cdr:y>0.00912</cdr:y>
    </cdr:from>
    <cdr:to>
      <cdr:x>0.09407</cdr:x>
      <cdr:y>0.08865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50800"/>
          <a:ext cx="412032" cy="4150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0.81939</cdr:x>
      <cdr:y>0.87415</cdr:y>
    </cdr:from>
    <cdr:to>
      <cdr:x>0.88181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876925" y="4895850"/>
          <a:ext cx="447675" cy="704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100</a:t>
          </a:r>
        </a:p>
        <a:p xmlns:a="http://schemas.openxmlformats.org/drawingml/2006/main">
          <a:r>
            <a:rPr lang="en-US" sz="1100"/>
            <a:t>  0</a:t>
          </a:r>
        </a:p>
      </cdr:txBody>
    </cdr:sp>
  </cdr:relSizeAnchor>
  <cdr:relSizeAnchor xmlns:cdr="http://schemas.openxmlformats.org/drawingml/2006/chartDrawing">
    <cdr:from>
      <cdr:x>0.66534</cdr:x>
      <cdr:y>0.48469</cdr:y>
    </cdr:from>
    <cdr:to>
      <cdr:x>0.75697</cdr:x>
      <cdr:y>0.58333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772024" y="2714625"/>
          <a:ext cx="657225" cy="552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%CH4</a:t>
          </a:r>
        </a:p>
        <a:p xmlns:a="http://schemas.openxmlformats.org/drawingml/2006/main">
          <a:r>
            <a:rPr lang="en-US" sz="1100"/>
            <a:t>↘</a:t>
          </a:r>
        </a:p>
      </cdr:txBody>
    </cdr:sp>
  </cdr:relSizeAnchor>
  <cdr:relSizeAnchor xmlns:cdr="http://schemas.openxmlformats.org/drawingml/2006/chartDrawing">
    <cdr:from>
      <cdr:x>0.44622</cdr:x>
      <cdr:y>0.94388</cdr:y>
    </cdr:from>
    <cdr:to>
      <cdr:x>0.57503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200399" y="5286375"/>
          <a:ext cx="923925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← %C2H6</a:t>
          </a:r>
        </a:p>
      </cdr:txBody>
    </cdr:sp>
  </cdr:relSizeAnchor>
  <cdr:relSizeAnchor xmlns:cdr="http://schemas.openxmlformats.org/drawingml/2006/chartDrawing">
    <cdr:from>
      <cdr:x>0.26693</cdr:x>
      <cdr:y>0.33844</cdr:y>
    </cdr:from>
    <cdr:to>
      <cdr:x>0.30544</cdr:x>
      <cdr:y>0.38605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1914525" y="1895475"/>
          <a:ext cx="27622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</a:t>
          </a:r>
        </a:p>
      </cdr:txBody>
    </cdr:sp>
  </cdr:relSizeAnchor>
  <cdr:relSizeAnchor xmlns:cdr="http://schemas.openxmlformats.org/drawingml/2006/chartDrawing">
    <cdr:from>
      <cdr:x>0.68526</cdr:x>
      <cdr:y>0.95068</cdr:y>
    </cdr:from>
    <cdr:to>
      <cdr:x>0.73971</cdr:x>
      <cdr:y>0.9915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4914900" y="5324475"/>
          <a:ext cx="39052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</a:t>
          </a:r>
        </a:p>
      </cdr:txBody>
    </cdr:sp>
  </cdr:relSizeAnchor>
  <cdr:relSizeAnchor xmlns:cdr="http://schemas.openxmlformats.org/drawingml/2006/chartDrawing">
    <cdr:from>
      <cdr:x>0.24436</cdr:x>
      <cdr:y>0.94728</cdr:y>
    </cdr:from>
    <cdr:to>
      <cdr:x>0.29216</cdr:x>
      <cdr:y>0.9898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752600" y="5305425"/>
          <a:ext cx="3429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O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0.60107</cdr:x>
      <cdr:y>0.42626</cdr:y>
    </cdr:from>
    <cdr:to>
      <cdr:x>0.6747</cdr:x>
      <cdr:y>0.51919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276724" y="2009775"/>
          <a:ext cx="52387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C2H4 </a:t>
          </a:r>
        </a:p>
        <a:p xmlns:a="http://schemas.openxmlformats.org/drawingml/2006/main">
          <a:r>
            <a:rPr lang="en-US" sz="1100"/>
            <a:t>↘</a:t>
          </a:r>
        </a:p>
      </cdr:txBody>
    </cdr:sp>
  </cdr:relSizeAnchor>
  <cdr:relSizeAnchor xmlns:cdr="http://schemas.openxmlformats.org/drawingml/2006/chartDrawing">
    <cdr:from>
      <cdr:x>0.66801</cdr:x>
      <cdr:y>0.85219</cdr:y>
    </cdr:from>
    <cdr:to>
      <cdr:x>0.72557</cdr:x>
      <cdr:y>0.91058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752975" y="4448175"/>
          <a:ext cx="409575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T3</a:t>
          </a:r>
        </a:p>
      </cdr:txBody>
    </cdr:sp>
  </cdr:relSizeAnchor>
  <cdr:relSizeAnchor xmlns:cdr="http://schemas.openxmlformats.org/drawingml/2006/chartDrawing">
    <cdr:from>
      <cdr:x>0.25971</cdr:x>
      <cdr:y>0.75912</cdr:y>
    </cdr:from>
    <cdr:to>
      <cdr:x>0.31325</cdr:x>
      <cdr:y>0.79927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847850" y="3962400"/>
          <a:ext cx="381000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ND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</cdr:x>
      <cdr:y>0.40546</cdr:y>
    </cdr:from>
    <cdr:to>
      <cdr:x>0.1264</cdr:x>
      <cdr:y>0.49765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38126" y="2052638"/>
          <a:ext cx="514350" cy="46672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3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C2H6</a:t>
          </a:r>
        </a:p>
        <a:p xmlns:a="http://schemas.openxmlformats.org/drawingml/2006/main">
          <a:r>
            <a:rPr lang="en-GB" sz="1100"/>
            <a:t>40%</a:t>
          </a:r>
        </a:p>
      </cdr:txBody>
    </cdr:sp>
  </cdr:relSizeAnchor>
  <cdr:relSizeAnchor xmlns:cdr="http://schemas.openxmlformats.org/drawingml/2006/chartDrawing">
    <cdr:from>
      <cdr:x>0.8704</cdr:x>
      <cdr:y>0.42239</cdr:y>
    </cdr:from>
    <cdr:to>
      <cdr:x>0.9568</cdr:x>
      <cdr:y>0.5127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181601" y="2138364"/>
          <a:ext cx="514350" cy="45720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3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C2H2</a:t>
          </a:r>
        </a:p>
        <a:p xmlns:a="http://schemas.openxmlformats.org/drawingml/2006/main">
          <a:r>
            <a:rPr lang="en-GB" sz="1100"/>
            <a:t>40%</a:t>
          </a:r>
        </a:p>
      </cdr:txBody>
    </cdr:sp>
  </cdr:relSizeAnchor>
  <cdr:relSizeAnchor xmlns:cdr="http://schemas.openxmlformats.org/drawingml/2006/chartDrawing">
    <cdr:from>
      <cdr:x>0.2064</cdr:x>
      <cdr:y>0.91438</cdr:y>
    </cdr:from>
    <cdr:to>
      <cdr:x>0.3248</cdr:x>
      <cdr:y>0.96147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228725" y="4973107"/>
          <a:ext cx="704850" cy="256118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3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CH4-40%</a:t>
          </a:r>
        </a:p>
      </cdr:txBody>
    </cdr:sp>
  </cdr:relSizeAnchor>
  <cdr:relSizeAnchor xmlns:cdr="http://schemas.openxmlformats.org/drawingml/2006/chartDrawing">
    <cdr:from>
      <cdr:x>0.656</cdr:x>
      <cdr:y>0.91096</cdr:y>
    </cdr:from>
    <cdr:to>
      <cdr:x>0.7872</cdr:x>
      <cdr:y>0.96404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905250" y="5067300"/>
          <a:ext cx="781050" cy="29527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3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C2H4-40%</a:t>
          </a:r>
        </a:p>
      </cdr:txBody>
    </cdr:sp>
  </cdr:relSizeAnchor>
  <cdr:relSizeAnchor xmlns:cdr="http://schemas.openxmlformats.org/drawingml/2006/chartDrawing">
    <cdr:from>
      <cdr:x>0.4576</cdr:x>
      <cdr:y>0.11033</cdr:y>
    </cdr:from>
    <cdr:to>
      <cdr:x>0.5664</cdr:x>
      <cdr:y>0.15762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2724150" y="600075"/>
          <a:ext cx="647700" cy="25717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H2-40%</a:t>
          </a:r>
        </a:p>
      </cdr:txBody>
    </cdr:sp>
  </cdr:relSizeAnchor>
  <cdr:relSizeAnchor xmlns:cdr="http://schemas.openxmlformats.org/drawingml/2006/chartDrawing">
    <cdr:from>
      <cdr:x>0.4208</cdr:x>
      <cdr:y>0.26095</cdr:y>
    </cdr:from>
    <cdr:to>
      <cdr:x>0.48</cdr:x>
      <cdr:y>0.30823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2505074" y="1419225"/>
          <a:ext cx="352425" cy="25717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PD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0.04</cdr:x>
      <cdr:y>0.40546</cdr:y>
    </cdr:from>
    <cdr:to>
      <cdr:x>0.1264</cdr:x>
      <cdr:y>0.49765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38126" y="2052638"/>
          <a:ext cx="514350" cy="46672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3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C2H6</a:t>
          </a:r>
        </a:p>
        <a:p xmlns:a="http://schemas.openxmlformats.org/drawingml/2006/main">
          <a:r>
            <a:rPr lang="en-GB" sz="1100"/>
            <a:t>40%</a:t>
          </a:r>
        </a:p>
      </cdr:txBody>
    </cdr:sp>
  </cdr:relSizeAnchor>
  <cdr:relSizeAnchor xmlns:cdr="http://schemas.openxmlformats.org/drawingml/2006/chartDrawing">
    <cdr:from>
      <cdr:x>0.8704</cdr:x>
      <cdr:y>0.42239</cdr:y>
    </cdr:from>
    <cdr:to>
      <cdr:x>0.9568</cdr:x>
      <cdr:y>0.5127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181601" y="2138364"/>
          <a:ext cx="514350" cy="45720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3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C2H2</a:t>
          </a:r>
        </a:p>
        <a:p xmlns:a="http://schemas.openxmlformats.org/drawingml/2006/main">
          <a:r>
            <a:rPr lang="en-GB" sz="1100"/>
            <a:t>40%</a:t>
          </a:r>
        </a:p>
      </cdr:txBody>
    </cdr:sp>
  </cdr:relSizeAnchor>
  <cdr:relSizeAnchor xmlns:cdr="http://schemas.openxmlformats.org/drawingml/2006/chartDrawing">
    <cdr:from>
      <cdr:x>0.4512</cdr:x>
      <cdr:y>0.10315</cdr:y>
    </cdr:from>
    <cdr:to>
      <cdr:x>0.56</cdr:x>
      <cdr:y>0.1486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686050" y="561975"/>
          <a:ext cx="647700" cy="24765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H2-40%</a:t>
          </a:r>
        </a:p>
      </cdr:txBody>
    </cdr:sp>
  </cdr:relSizeAnchor>
  <cdr:relSizeAnchor xmlns:cdr="http://schemas.openxmlformats.org/drawingml/2006/chartDrawing">
    <cdr:from>
      <cdr:x>0.6176</cdr:x>
      <cdr:y>0.61713</cdr:y>
    </cdr:from>
    <cdr:to>
      <cdr:x>0.6864</cdr:x>
      <cdr:y>0.66608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676650" y="3362325"/>
          <a:ext cx="409575" cy="26670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D2</a:t>
          </a:r>
        </a:p>
      </cdr:txBody>
    </cdr:sp>
  </cdr:relSizeAnchor>
  <cdr:relSizeAnchor xmlns:cdr="http://schemas.openxmlformats.org/drawingml/2006/chartDrawing">
    <cdr:from>
      <cdr:x>0.5328</cdr:x>
      <cdr:y>0.79021</cdr:y>
    </cdr:from>
    <cdr:to>
      <cdr:x>0.5936</cdr:x>
      <cdr:y>0.83741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171825" y="4305300"/>
          <a:ext cx="361950" cy="25717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T3</a:t>
          </a:r>
        </a:p>
      </cdr:txBody>
    </cdr:sp>
  </cdr:relSizeAnchor>
  <cdr:relSizeAnchor xmlns:cdr="http://schemas.openxmlformats.org/drawingml/2006/chartDrawing">
    <cdr:from>
      <cdr:x>0.2736</cdr:x>
      <cdr:y>0.64685</cdr:y>
    </cdr:from>
    <cdr:to>
      <cdr:x>0.3312</cdr:x>
      <cdr:y>0.7028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628775" y="3524250"/>
          <a:ext cx="342900" cy="30480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T1</a:t>
          </a:r>
        </a:p>
      </cdr:txBody>
    </cdr:sp>
  </cdr:relSizeAnchor>
  <cdr:relSizeAnchor xmlns:cdr="http://schemas.openxmlformats.org/drawingml/2006/chartDrawing">
    <cdr:from>
      <cdr:x>0.3264</cdr:x>
      <cdr:y>0.43531</cdr:y>
    </cdr:from>
    <cdr:to>
      <cdr:x>0.3792</cdr:x>
      <cdr:y>0.48951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1943100" y="2371725"/>
          <a:ext cx="314325" cy="29527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</a:t>
          </a:r>
        </a:p>
      </cdr:txBody>
    </cdr:sp>
  </cdr:relSizeAnchor>
  <cdr:relSizeAnchor xmlns:cdr="http://schemas.openxmlformats.org/drawingml/2006/chartDrawing">
    <cdr:from>
      <cdr:x>0.6592</cdr:x>
      <cdr:y>0.91783</cdr:y>
    </cdr:from>
    <cdr:to>
      <cdr:x>0.792</cdr:x>
      <cdr:y>0.96678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3924300" y="5000625"/>
          <a:ext cx="790575" cy="26670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C2H2-40%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409575</xdr:colOff>
      <xdr:row>169</xdr:row>
      <xdr:rowOff>28575</xdr:rowOff>
    </xdr:from>
    <xdr:to>
      <xdr:col>20</xdr:col>
      <xdr:colOff>76200</xdr:colOff>
      <xdr:row>179</xdr:row>
      <xdr:rowOff>28575</xdr:rowOff>
    </xdr:to>
    <xdr:pic>
      <xdr:nvPicPr>
        <xdr:cNvPr id="2356419" name="Picture 2">
          <a:extLst>
            <a:ext uri="{FF2B5EF4-FFF2-40B4-BE49-F238E27FC236}">
              <a16:creationId xmlns:a16="http://schemas.microsoft.com/office/drawing/2014/main" id="{E5752D5B-2355-4AFB-897D-144704DD0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35575875"/>
          <a:ext cx="7686675" cy="2038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514350</xdr:colOff>
      <xdr:row>148</xdr:row>
      <xdr:rowOff>28575</xdr:rowOff>
    </xdr:from>
    <xdr:to>
      <xdr:col>15</xdr:col>
      <xdr:colOff>171450</xdr:colOff>
      <xdr:row>161</xdr:row>
      <xdr:rowOff>76200</xdr:rowOff>
    </xdr:to>
    <xdr:pic>
      <xdr:nvPicPr>
        <xdr:cNvPr id="2356420" name="Picture 3">
          <a:extLst>
            <a:ext uri="{FF2B5EF4-FFF2-40B4-BE49-F238E27FC236}">
              <a16:creationId xmlns:a16="http://schemas.microsoft.com/office/drawing/2014/main" id="{88FE693B-A81B-4382-8470-B8A8FECF9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31318200"/>
          <a:ext cx="8039100" cy="2647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428625</xdr:colOff>
      <xdr:row>131</xdr:row>
      <xdr:rowOff>114300</xdr:rowOff>
    </xdr:from>
    <xdr:to>
      <xdr:col>13</xdr:col>
      <xdr:colOff>485775</xdr:colOff>
      <xdr:row>143</xdr:row>
      <xdr:rowOff>85725</xdr:rowOff>
    </xdr:to>
    <xdr:pic>
      <xdr:nvPicPr>
        <xdr:cNvPr id="2356421" name="Picture 4">
          <a:extLst>
            <a:ext uri="{FF2B5EF4-FFF2-40B4-BE49-F238E27FC236}">
              <a16:creationId xmlns:a16="http://schemas.microsoft.com/office/drawing/2014/main" id="{0259B458-2DED-45B0-9EC3-43A59CC94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27965400"/>
          <a:ext cx="4724400" cy="2409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47625</xdr:colOff>
      <xdr:row>134</xdr:row>
      <xdr:rowOff>38100</xdr:rowOff>
    </xdr:from>
    <xdr:to>
      <xdr:col>7</xdr:col>
      <xdr:colOff>190500</xdr:colOff>
      <xdr:row>139</xdr:row>
      <xdr:rowOff>85725</xdr:rowOff>
    </xdr:to>
    <xdr:pic>
      <xdr:nvPicPr>
        <xdr:cNvPr id="2356422" name="Picture 6">
          <a:extLst>
            <a:ext uri="{FF2B5EF4-FFF2-40B4-BE49-F238E27FC236}">
              <a16:creationId xmlns:a16="http://schemas.microsoft.com/office/drawing/2014/main" id="{7C917D1D-70A4-4714-8DE2-B26E5BC2A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8489275"/>
          <a:ext cx="2638425" cy="1047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0</xdr:colOff>
      <xdr:row>180</xdr:row>
      <xdr:rowOff>0</xdr:rowOff>
    </xdr:from>
    <xdr:to>
      <xdr:col>24</xdr:col>
      <xdr:colOff>419100</xdr:colOff>
      <xdr:row>213</xdr:row>
      <xdr:rowOff>47625</xdr:rowOff>
    </xdr:to>
    <xdr:pic>
      <xdr:nvPicPr>
        <xdr:cNvPr id="2356423" name="Picture 1">
          <a:extLst>
            <a:ext uri="{FF2B5EF4-FFF2-40B4-BE49-F238E27FC236}">
              <a16:creationId xmlns:a16="http://schemas.microsoft.com/office/drawing/2014/main" id="{9DA0DBB9-F697-4B9C-9DDC-BAC33299B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0" y="37785675"/>
          <a:ext cx="5772150" cy="691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333375</xdr:colOff>
      <xdr:row>324</xdr:row>
      <xdr:rowOff>0</xdr:rowOff>
    </xdr:from>
    <xdr:to>
      <xdr:col>28</xdr:col>
      <xdr:colOff>180975</xdr:colOff>
      <xdr:row>340</xdr:row>
      <xdr:rowOff>95250</xdr:rowOff>
    </xdr:to>
    <xdr:graphicFrame macro="">
      <xdr:nvGraphicFramePr>
        <xdr:cNvPr id="2356424" name="Chart 4">
          <a:extLst>
            <a:ext uri="{FF2B5EF4-FFF2-40B4-BE49-F238E27FC236}">
              <a16:creationId xmlns:a16="http://schemas.microsoft.com/office/drawing/2014/main" id="{BBEE7A53-0A4D-43DE-90F2-6DF13D59F2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37</xdr:row>
      <xdr:rowOff>47625</xdr:rowOff>
    </xdr:from>
    <xdr:to>
      <xdr:col>11</xdr:col>
      <xdr:colOff>542925</xdr:colOff>
      <xdr:row>57</xdr:row>
      <xdr:rowOff>28575</xdr:rowOff>
    </xdr:to>
    <xdr:graphicFrame macro="">
      <xdr:nvGraphicFramePr>
        <xdr:cNvPr id="2520145" name="Chart 1">
          <a:extLst>
            <a:ext uri="{FF2B5EF4-FFF2-40B4-BE49-F238E27FC236}">
              <a16:creationId xmlns:a16="http://schemas.microsoft.com/office/drawing/2014/main" id="{913ADB66-BC9E-4F15-9DFB-39895917C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409575</xdr:colOff>
      <xdr:row>55</xdr:row>
      <xdr:rowOff>95250</xdr:rowOff>
    </xdr:from>
    <xdr:to>
      <xdr:col>7</xdr:col>
      <xdr:colOff>123825</xdr:colOff>
      <xdr:row>55</xdr:row>
      <xdr:rowOff>104775</xdr:rowOff>
    </xdr:to>
    <xdr:sp macro="" textlink="">
      <xdr:nvSpPr>
        <xdr:cNvPr id="2520146" name="Line 2">
          <a:extLst>
            <a:ext uri="{FF2B5EF4-FFF2-40B4-BE49-F238E27FC236}">
              <a16:creationId xmlns:a16="http://schemas.microsoft.com/office/drawing/2014/main" id="{C2A4205B-A65D-4046-BB28-32BC2F30EEDF}"/>
            </a:ext>
          </a:extLst>
        </xdr:cNvPr>
        <xdr:cNvSpPr>
          <a:spLocks noChangeShapeType="1"/>
        </xdr:cNvSpPr>
      </xdr:nvSpPr>
      <xdr:spPr bwMode="auto">
        <a:xfrm flipH="1" flipV="1">
          <a:off x="4067175" y="11058525"/>
          <a:ext cx="3238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247650</xdr:colOff>
      <xdr:row>46</xdr:row>
      <xdr:rowOff>0</xdr:rowOff>
    </xdr:from>
    <xdr:to>
      <xdr:col>4</xdr:col>
      <xdr:colOff>447675</xdr:colOff>
      <xdr:row>47</xdr:row>
      <xdr:rowOff>38100</xdr:rowOff>
    </xdr:to>
    <xdr:sp macro="" textlink="">
      <xdr:nvSpPr>
        <xdr:cNvPr id="2520147" name="Line 3">
          <a:extLst>
            <a:ext uri="{FF2B5EF4-FFF2-40B4-BE49-F238E27FC236}">
              <a16:creationId xmlns:a16="http://schemas.microsoft.com/office/drawing/2014/main" id="{B1329DC2-A9B1-49CC-A8D6-7B10E859816C}"/>
            </a:ext>
          </a:extLst>
        </xdr:cNvPr>
        <xdr:cNvSpPr>
          <a:spLocks noChangeShapeType="1"/>
        </xdr:cNvSpPr>
      </xdr:nvSpPr>
      <xdr:spPr bwMode="auto">
        <a:xfrm flipV="1">
          <a:off x="2686050" y="9163050"/>
          <a:ext cx="200025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46</xdr:row>
      <xdr:rowOff>85725</xdr:rowOff>
    </xdr:from>
    <xdr:to>
      <xdr:col>9</xdr:col>
      <xdr:colOff>381000</xdr:colOff>
      <xdr:row>47</xdr:row>
      <xdr:rowOff>152400</xdr:rowOff>
    </xdr:to>
    <xdr:sp macro="" textlink="">
      <xdr:nvSpPr>
        <xdr:cNvPr id="2520148" name="Line 4">
          <a:extLst>
            <a:ext uri="{FF2B5EF4-FFF2-40B4-BE49-F238E27FC236}">
              <a16:creationId xmlns:a16="http://schemas.microsoft.com/office/drawing/2014/main" id="{1F1C71B8-6B17-4C99-AF23-880BFAEDA0CA}"/>
            </a:ext>
          </a:extLst>
        </xdr:cNvPr>
        <xdr:cNvSpPr>
          <a:spLocks noChangeShapeType="1"/>
        </xdr:cNvSpPr>
      </xdr:nvSpPr>
      <xdr:spPr bwMode="auto">
        <a:xfrm>
          <a:off x="5676900" y="9248775"/>
          <a:ext cx="19050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0.79232</cdr:x>
      <cdr:y>0.44631</cdr:y>
    </cdr:from>
    <cdr:to>
      <cdr:x>0.89468</cdr:x>
      <cdr:y>0.5</cdr:y>
    </cdr:to>
    <cdr:sp macro="" textlink="">
      <cdr:nvSpPr>
        <cdr:cNvPr id="153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87849" y="1784398"/>
          <a:ext cx="618135" cy="2142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%C2H4</a:t>
          </a:r>
        </a:p>
      </cdr:txBody>
    </cdr:sp>
  </cdr:relSizeAnchor>
  <cdr:relSizeAnchor xmlns:cdr="http://schemas.openxmlformats.org/drawingml/2006/chartDrawing">
    <cdr:from>
      <cdr:x>0.61515</cdr:x>
      <cdr:y>0.43167</cdr:y>
    </cdr:from>
    <cdr:to>
      <cdr:x>0.65452</cdr:x>
      <cdr:y>0.48145</cdr:y>
    </cdr:to>
    <cdr:sp macro="" textlink="">
      <cdr:nvSpPr>
        <cdr:cNvPr id="1536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18001" y="1725962"/>
          <a:ext cx="237744" cy="1986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T2</a:t>
          </a:r>
        </a:p>
      </cdr:txBody>
    </cdr:sp>
  </cdr:relSizeAnchor>
  <cdr:relSizeAnchor xmlns:cdr="http://schemas.openxmlformats.org/drawingml/2006/chartDrawing">
    <cdr:from>
      <cdr:x>0.14962</cdr:x>
      <cdr:y>0.41996</cdr:y>
    </cdr:from>
    <cdr:to>
      <cdr:x>0.2441</cdr:x>
      <cdr:y>0.46681</cdr:y>
    </cdr:to>
    <cdr:sp macro="" textlink="">
      <cdr:nvSpPr>
        <cdr:cNvPr id="1536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06678" y="1679213"/>
          <a:ext cx="570586" cy="1869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%CH4</a:t>
          </a:r>
        </a:p>
      </cdr:txBody>
    </cdr:sp>
  </cdr:relSizeAnchor>
  <cdr:relSizeAnchor xmlns:cdr="http://schemas.openxmlformats.org/drawingml/2006/chartDrawing">
    <cdr:from>
      <cdr:x>0.73228</cdr:x>
      <cdr:y>0.68547</cdr:y>
    </cdr:from>
    <cdr:to>
      <cdr:x>0.77952</cdr:x>
      <cdr:y>0.74891</cdr:y>
    </cdr:to>
    <cdr:sp macro="" textlink="">
      <cdr:nvSpPr>
        <cdr:cNvPr id="15364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25290" y="2738850"/>
          <a:ext cx="285292" cy="2532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T3</a:t>
          </a:r>
        </a:p>
      </cdr:txBody>
    </cdr:sp>
  </cdr:relSizeAnchor>
  <cdr:relSizeAnchor xmlns:cdr="http://schemas.openxmlformats.org/drawingml/2006/chartDrawing">
    <cdr:from>
      <cdr:x>0.4498</cdr:x>
      <cdr:y>0.94219</cdr:y>
    </cdr:from>
    <cdr:to>
      <cdr:x>0.53445</cdr:x>
      <cdr:y>0.98611</cdr:y>
    </cdr:to>
    <cdr:sp macro="" textlink="">
      <cdr:nvSpPr>
        <cdr:cNvPr id="15365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19476" y="3763426"/>
          <a:ext cx="511150" cy="1753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%C2H2</a:t>
          </a:r>
        </a:p>
      </cdr:txBody>
    </cdr:sp>
  </cdr:relSizeAnchor>
  <cdr:relSizeAnchor xmlns:cdr="http://schemas.openxmlformats.org/drawingml/2006/chartDrawing">
    <cdr:from>
      <cdr:x>0.51968</cdr:x>
      <cdr:y>0.68547</cdr:y>
    </cdr:from>
    <cdr:to>
      <cdr:x>0.56299</cdr:x>
      <cdr:y>0.7333</cdr:y>
    </cdr:to>
    <cdr:sp macro="" textlink="">
      <cdr:nvSpPr>
        <cdr:cNvPr id="1536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41472" y="2738850"/>
          <a:ext cx="261518" cy="1908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X3</a:t>
          </a:r>
        </a:p>
      </cdr:txBody>
    </cdr:sp>
  </cdr:relSizeAnchor>
  <cdr:relSizeAnchor xmlns:cdr="http://schemas.openxmlformats.org/drawingml/2006/chartDrawing">
    <cdr:from>
      <cdr:x>0.35729</cdr:x>
      <cdr:y>0.50098</cdr:y>
    </cdr:from>
    <cdr:to>
      <cdr:x>0.38977</cdr:x>
      <cdr:y>0.54881</cdr:y>
    </cdr:to>
    <cdr:sp macro="" textlink="">
      <cdr:nvSpPr>
        <cdr:cNvPr id="15367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60778" y="2002558"/>
          <a:ext cx="196139" cy="1908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X1</a:t>
          </a:r>
        </a:p>
      </cdr:txBody>
    </cdr:sp>
  </cdr:relSizeAnchor>
  <cdr:relSizeAnchor xmlns:cdr="http://schemas.openxmlformats.org/drawingml/2006/chartDrawing">
    <cdr:from>
      <cdr:x>0.14076</cdr:x>
      <cdr:y>0.79186</cdr:y>
    </cdr:from>
    <cdr:to>
      <cdr:x>0.18997</cdr:x>
      <cdr:y>0.83091</cdr:y>
    </cdr:to>
    <cdr:sp macro="" textlink="">
      <cdr:nvSpPr>
        <cdr:cNvPr id="15368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3186" y="3163484"/>
          <a:ext cx="297180" cy="1558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D1</a:t>
          </a:r>
        </a:p>
      </cdr:txBody>
    </cdr:sp>
  </cdr:relSizeAnchor>
  <cdr:relSizeAnchor xmlns:cdr="http://schemas.openxmlformats.org/drawingml/2006/chartDrawing">
    <cdr:from>
      <cdr:x>0.24509</cdr:x>
      <cdr:y>0.77039</cdr:y>
    </cdr:from>
    <cdr:to>
      <cdr:x>0.28052</cdr:x>
      <cdr:y>0.83091</cdr:y>
    </cdr:to>
    <cdr:sp macro="" textlink="">
      <cdr:nvSpPr>
        <cdr:cNvPr id="15369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83208" y="3077778"/>
          <a:ext cx="213969" cy="2415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</a:p>
      </cdr:txBody>
    </cdr:sp>
  </cdr:relSizeAnchor>
  <cdr:relSizeAnchor xmlns:cdr="http://schemas.openxmlformats.org/drawingml/2006/chartDrawing">
    <cdr:from>
      <cdr:x>0.02659</cdr:x>
      <cdr:y>0.90412</cdr:y>
    </cdr:from>
    <cdr:to>
      <cdr:x>0.08564</cdr:x>
      <cdr:y>0.96171</cdr:y>
    </cdr:to>
    <cdr:sp macro="" textlink="">
      <cdr:nvSpPr>
        <cdr:cNvPr id="15370" name="Text Box 1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63728" y="3611493"/>
          <a:ext cx="356616" cy="2298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100</a:t>
          </a:r>
        </a:p>
      </cdr:txBody>
    </cdr:sp>
  </cdr:relSizeAnchor>
  <cdr:relSizeAnchor xmlns:cdr="http://schemas.openxmlformats.org/drawingml/2006/chartDrawing">
    <cdr:from>
      <cdr:x>0.04922</cdr:x>
      <cdr:y>0.83091</cdr:y>
    </cdr:from>
    <cdr:to>
      <cdr:x>0.07678</cdr:x>
      <cdr:y>0.8846</cdr:y>
    </cdr:to>
    <cdr:sp macro="" textlink="">
      <cdr:nvSpPr>
        <cdr:cNvPr id="15371" name="Text Box 1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0431" y="3319313"/>
          <a:ext cx="166421" cy="2142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75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cdr:txBody>
    </cdr:sp>
  </cdr:relSizeAnchor>
  <cdr:relSizeAnchor xmlns:cdr="http://schemas.openxmlformats.org/drawingml/2006/chartDrawing">
    <cdr:from>
      <cdr:x>0.93208</cdr:x>
      <cdr:y>0.8475</cdr:y>
    </cdr:from>
    <cdr:to>
      <cdr:x>0.97833</cdr:x>
      <cdr:y>0.90314</cdr:y>
    </cdr:to>
    <cdr:sp macro="" textlink="">
      <cdr:nvSpPr>
        <cdr:cNvPr id="15372" name="Text Box 1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31840" y="3385541"/>
          <a:ext cx="279350" cy="2220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100</a:t>
          </a:r>
        </a:p>
      </cdr:txBody>
    </cdr:sp>
  </cdr:relSizeAnchor>
  <cdr:relSizeAnchor xmlns:cdr="http://schemas.openxmlformats.org/drawingml/2006/chartDrawing">
    <cdr:from>
      <cdr:x>0.93208</cdr:x>
      <cdr:y>0.90412</cdr:y>
    </cdr:from>
    <cdr:to>
      <cdr:x>0.96554</cdr:x>
      <cdr:y>0.96171</cdr:y>
    </cdr:to>
    <cdr:sp macro="" textlink="">
      <cdr:nvSpPr>
        <cdr:cNvPr id="15373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31840" y="3611493"/>
          <a:ext cx="202083" cy="2298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cdr:txBody>
    </cdr:sp>
  </cdr:relSizeAnchor>
  <cdr:relSizeAnchor xmlns:cdr="http://schemas.openxmlformats.org/drawingml/2006/chartDrawing">
    <cdr:from>
      <cdr:x>0.51968</cdr:x>
      <cdr:y>0.07831</cdr:y>
    </cdr:from>
    <cdr:to>
      <cdr:x>0.57086</cdr:x>
      <cdr:y>0.14274</cdr:y>
    </cdr:to>
    <cdr:sp macro="" textlink="">
      <cdr:nvSpPr>
        <cdr:cNvPr id="15374" name="Text Box 1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41472" y="315709"/>
          <a:ext cx="309067" cy="2571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0</a:t>
          </a:r>
        </a:p>
      </cdr:txBody>
    </cdr:sp>
  </cdr:relSizeAnchor>
  <cdr:relSizeAnchor xmlns:cdr="http://schemas.openxmlformats.org/drawingml/2006/chartDrawing">
    <cdr:from>
      <cdr:x>0.42717</cdr:x>
      <cdr:y>0.07831</cdr:y>
    </cdr:from>
    <cdr:to>
      <cdr:x>0.47933</cdr:x>
      <cdr:y>0.12907</cdr:y>
    </cdr:to>
    <cdr:sp macro="" textlink="">
      <cdr:nvSpPr>
        <cdr:cNvPr id="15375" name="Text Box 1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82774" y="315709"/>
          <a:ext cx="315010" cy="20257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100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W249"/>
  <sheetViews>
    <sheetView tabSelected="1" topLeftCell="A67" zoomScaleNormal="100" workbookViewId="0"/>
  </sheetViews>
  <sheetFormatPr defaultRowHeight="20.100000000000001" customHeight="1" x14ac:dyDescent="0.2"/>
  <cols>
    <col min="6" max="6" width="22.140625" customWidth="1"/>
    <col min="13" max="13" width="10.140625" customWidth="1"/>
  </cols>
  <sheetData>
    <row r="1" spans="1:18" s="1" customFormat="1" ht="20.100000000000001" customHeight="1" x14ac:dyDescent="0.3">
      <c r="D1" s="2" t="s">
        <v>0</v>
      </c>
      <c r="E1" s="3"/>
      <c r="F1" s="3"/>
      <c r="G1" s="3"/>
    </row>
    <row r="2" spans="1:18" s="1" customFormat="1" ht="20.100000000000001" customHeight="1" x14ac:dyDescent="0.3">
      <c r="C2" s="105"/>
      <c r="D2" s="109" t="s">
        <v>153</v>
      </c>
      <c r="E2" s="109"/>
      <c r="F2" s="109"/>
      <c r="G2" s="109"/>
      <c r="H2" s="109"/>
      <c r="I2" s="110"/>
    </row>
    <row r="3" spans="1:18" s="5" customFormat="1" ht="20.100000000000001" customHeight="1" x14ac:dyDescent="0.25">
      <c r="A3" s="335" t="s">
        <v>63</v>
      </c>
      <c r="B3" s="335"/>
      <c r="C3" s="336" t="s">
        <v>60</v>
      </c>
      <c r="D3" s="336"/>
      <c r="E3" s="336"/>
      <c r="F3" s="336"/>
      <c r="G3" s="336"/>
    </row>
    <row r="4" spans="1:18" s="5" customFormat="1" ht="20.100000000000001" customHeight="1" x14ac:dyDescent="0.25">
      <c r="A4" s="290" t="s">
        <v>64</v>
      </c>
      <c r="B4" s="290"/>
      <c r="C4" s="328" t="s">
        <v>61</v>
      </c>
      <c r="D4" s="328"/>
      <c r="E4" s="328"/>
      <c r="F4" s="328"/>
      <c r="G4" s="328"/>
    </row>
    <row r="5" spans="1:18" s="5" customFormat="1" ht="20.100000000000001" customHeight="1" x14ac:dyDescent="0.25">
      <c r="A5" s="290" t="s">
        <v>65</v>
      </c>
      <c r="B5" s="290"/>
      <c r="C5" s="328" t="s">
        <v>57</v>
      </c>
      <c r="D5" s="328"/>
      <c r="E5" s="328"/>
      <c r="F5" s="328"/>
      <c r="G5" s="328"/>
    </row>
    <row r="6" spans="1:18" s="5" customFormat="1" ht="20.100000000000001" customHeight="1" x14ac:dyDescent="0.25">
      <c r="A6" s="290" t="s">
        <v>66</v>
      </c>
      <c r="B6" s="290"/>
      <c r="C6" s="328" t="s">
        <v>62</v>
      </c>
      <c r="D6" s="328"/>
      <c r="E6" s="328"/>
      <c r="F6" s="328"/>
      <c r="G6" s="328"/>
    </row>
    <row r="7" spans="1:18" s="5" customFormat="1" ht="20.100000000000001" customHeight="1" x14ac:dyDescent="0.25">
      <c r="A7" s="6"/>
    </row>
    <row r="8" spans="1:18" s="5" customFormat="1" ht="20.100000000000001" customHeight="1" x14ac:dyDescent="0.3">
      <c r="A8" s="286" t="s">
        <v>1</v>
      </c>
      <c r="B8" s="287"/>
      <c r="C8" s="287"/>
      <c r="D8" s="287"/>
      <c r="E8" s="287"/>
      <c r="F8" s="287"/>
      <c r="G8" s="287"/>
      <c r="H8" s="287"/>
      <c r="I8" s="287"/>
      <c r="J8" s="287"/>
      <c r="K8" s="288"/>
      <c r="M8" s="360" t="s">
        <v>450</v>
      </c>
      <c r="N8" s="361"/>
      <c r="O8" s="361"/>
      <c r="P8" s="361"/>
      <c r="Q8" s="362"/>
      <c r="R8" s="362"/>
    </row>
    <row r="9" spans="1:18" s="5" customFormat="1" ht="20.100000000000001" customHeight="1" x14ac:dyDescent="0.25">
      <c r="A9" s="8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9" t="s">
        <v>9</v>
      </c>
      <c r="I9" s="325" t="s">
        <v>10</v>
      </c>
      <c r="J9" s="326"/>
      <c r="K9" s="327"/>
      <c r="M9" s="365" t="s">
        <v>454</v>
      </c>
      <c r="N9" s="366"/>
      <c r="O9" s="366"/>
      <c r="P9" s="366"/>
      <c r="Q9" s="366"/>
      <c r="R9" s="366"/>
    </row>
    <row r="10" spans="1:18" s="5" customFormat="1" ht="20.100000000000001" customHeight="1" x14ac:dyDescent="0.25">
      <c r="A10" s="200">
        <v>99</v>
      </c>
      <c r="B10" s="200">
        <v>780</v>
      </c>
      <c r="C10" s="200">
        <v>788</v>
      </c>
      <c r="D10" s="200">
        <v>267</v>
      </c>
      <c r="E10" s="200">
        <v>0</v>
      </c>
      <c r="F10" s="200">
        <v>194</v>
      </c>
      <c r="G10" s="200">
        <v>1119</v>
      </c>
      <c r="H10" s="10">
        <f>SUM(A10:F10)</f>
        <v>2128</v>
      </c>
      <c r="I10" s="329">
        <f>G10/F10</f>
        <v>5.768041237113402</v>
      </c>
      <c r="J10" s="330"/>
      <c r="K10" s="331"/>
      <c r="M10" s="22" t="s">
        <v>451</v>
      </c>
      <c r="N10" s="363">
        <f>(77.7*B10+93.5*D10+104.1*C10+278.3*E10)/22400</f>
        <v>7.4822008928571426</v>
      </c>
      <c r="O10" s="364"/>
    </row>
    <row r="11" spans="1:18" s="5" customFormat="1" ht="20.100000000000001" customHeight="1" x14ac:dyDescent="0.25">
      <c r="A11" s="322" t="s">
        <v>11</v>
      </c>
      <c r="B11" s="323"/>
      <c r="C11" s="323"/>
      <c r="D11" s="323"/>
      <c r="E11" s="323"/>
      <c r="F11" s="323"/>
      <c r="G11" s="323"/>
      <c r="H11" s="323"/>
      <c r="I11" s="323"/>
      <c r="J11" s="323"/>
      <c r="K11" s="324"/>
      <c r="M11" s="22" t="s">
        <v>452</v>
      </c>
      <c r="N11" s="363">
        <f>(77.7*B10+104.1*C10+278.3*E10)/22400</f>
        <v>6.3677142857142854</v>
      </c>
      <c r="O11" s="364"/>
    </row>
    <row r="12" spans="1:18" s="5" customFormat="1" ht="20.100000000000001" customHeight="1" x14ac:dyDescent="0.25">
      <c r="A12" s="325"/>
      <c r="B12" s="326"/>
      <c r="C12" s="326"/>
      <c r="D12" s="326"/>
      <c r="E12" s="326"/>
      <c r="F12" s="326"/>
      <c r="G12" s="326"/>
      <c r="H12" s="326"/>
      <c r="I12" s="326"/>
      <c r="J12" s="326"/>
      <c r="K12" s="327"/>
      <c r="M12" s="22" t="s">
        <v>453</v>
      </c>
      <c r="N12" s="363">
        <f>(101.4*F10+30.2*G10)/22400</f>
        <v>2.3868482142857141</v>
      </c>
      <c r="O12" s="364"/>
    </row>
    <row r="13" spans="1:18" s="5" customFormat="1" ht="20.100000000000001" customHeight="1" x14ac:dyDescent="0.25">
      <c r="A13" s="325" t="s">
        <v>12</v>
      </c>
      <c r="B13" s="326"/>
      <c r="C13" s="326"/>
      <c r="D13" s="326"/>
      <c r="E13" s="326"/>
      <c r="F13" s="326"/>
      <c r="G13" s="326"/>
      <c r="H13" s="326"/>
      <c r="I13" s="326"/>
      <c r="J13" s="326"/>
      <c r="K13" s="327"/>
    </row>
    <row r="14" spans="1:18" s="5" customFormat="1" ht="20.100000000000001" customHeight="1" x14ac:dyDescent="0.25">
      <c r="A14" s="10">
        <v>150</v>
      </c>
      <c r="B14" s="10">
        <v>130</v>
      </c>
      <c r="C14" s="10">
        <v>280</v>
      </c>
      <c r="D14" s="10">
        <v>90</v>
      </c>
      <c r="E14" s="10">
        <v>20</v>
      </c>
      <c r="F14" s="10">
        <v>600</v>
      </c>
      <c r="G14" s="10">
        <v>14000</v>
      </c>
      <c r="H14" s="312" t="s">
        <v>427</v>
      </c>
      <c r="I14" s="313"/>
      <c r="J14" s="313"/>
      <c r="K14" s="314"/>
    </row>
    <row r="15" spans="1:18" s="5" customFormat="1" ht="20.100000000000001" customHeight="1" x14ac:dyDescent="0.25">
      <c r="A15" s="10"/>
      <c r="B15" s="10"/>
      <c r="C15" s="10"/>
      <c r="D15" s="10"/>
      <c r="E15" s="10"/>
      <c r="F15" s="10"/>
      <c r="G15" s="10"/>
      <c r="H15" s="312"/>
      <c r="I15" s="313"/>
      <c r="J15" s="313"/>
      <c r="K15" s="314"/>
    </row>
    <row r="16" spans="1:18" s="5" customFormat="1" ht="20.100000000000001" customHeight="1" x14ac:dyDescent="0.25">
      <c r="A16" s="10">
        <v>100</v>
      </c>
      <c r="B16" s="10">
        <v>120</v>
      </c>
      <c r="C16" s="10">
        <v>50</v>
      </c>
      <c r="D16" s="10">
        <v>65</v>
      </c>
      <c r="E16" s="10">
        <v>1</v>
      </c>
      <c r="F16" s="10">
        <v>350</v>
      </c>
      <c r="G16" s="10">
        <v>2500</v>
      </c>
      <c r="H16" s="312" t="s">
        <v>428</v>
      </c>
      <c r="I16" s="313"/>
      <c r="J16" s="313"/>
      <c r="K16" s="314"/>
    </row>
    <row r="17" spans="1:23" s="5" customFormat="1" ht="20.100000000000001" customHeight="1" x14ac:dyDescent="0.25">
      <c r="A17" s="10"/>
      <c r="B17" s="10"/>
      <c r="C17" s="10"/>
      <c r="D17" s="10"/>
      <c r="E17" s="10"/>
      <c r="F17" s="10"/>
      <c r="G17" s="10"/>
      <c r="H17" s="312"/>
      <c r="I17" s="313"/>
      <c r="J17" s="313"/>
      <c r="K17" s="314"/>
    </row>
    <row r="18" spans="1:23" s="5" customFormat="1" ht="20.100000000000001" customHeight="1" x14ac:dyDescent="0.25">
      <c r="A18" s="315">
        <v>100</v>
      </c>
      <c r="B18" s="315">
        <v>100</v>
      </c>
      <c r="C18" s="315">
        <v>100</v>
      </c>
      <c r="D18" s="315">
        <v>50</v>
      </c>
      <c r="E18" s="315">
        <v>10</v>
      </c>
      <c r="F18" s="10" t="s">
        <v>13</v>
      </c>
      <c r="G18" s="10" t="s">
        <v>14</v>
      </c>
      <c r="H18" s="316" t="s">
        <v>15</v>
      </c>
      <c r="I18" s="317"/>
      <c r="J18" s="317"/>
      <c r="K18" s="318"/>
    </row>
    <row r="19" spans="1:23" s="5" customFormat="1" ht="20.100000000000001" customHeight="1" x14ac:dyDescent="0.25">
      <c r="A19" s="315"/>
      <c r="B19" s="315"/>
      <c r="C19" s="315"/>
      <c r="D19" s="315"/>
      <c r="E19" s="315"/>
      <c r="F19" s="10">
        <v>600</v>
      </c>
      <c r="G19" s="10" t="s">
        <v>16</v>
      </c>
      <c r="H19" s="319"/>
      <c r="I19" s="320"/>
      <c r="J19" s="320"/>
      <c r="K19" s="321"/>
    </row>
    <row r="20" spans="1:23" s="1" customFormat="1" ht="20.100000000000001" customHeight="1" x14ac:dyDescent="0.3">
      <c r="A20" s="11" t="s">
        <v>17</v>
      </c>
      <c r="B20" s="12"/>
      <c r="C20" s="12"/>
      <c r="D20" s="12"/>
      <c r="E20" s="12"/>
      <c r="F20" s="12"/>
      <c r="G20" s="12"/>
      <c r="H20" s="12"/>
      <c r="I20" s="13"/>
      <c r="J20" s="14"/>
      <c r="K20" s="14"/>
    </row>
    <row r="21" spans="1:23" s="1" customFormat="1" ht="20.100000000000001" customHeight="1" x14ac:dyDescent="0.3"/>
    <row r="22" spans="1:23" s="1" customFormat="1" ht="20.100000000000001" customHeight="1" x14ac:dyDescent="0.3">
      <c r="A22" s="306" t="s">
        <v>18</v>
      </c>
      <c r="B22" s="307"/>
      <c r="C22" s="307"/>
      <c r="D22" s="307"/>
      <c r="E22" s="307"/>
      <c r="F22" s="307"/>
      <c r="G22" s="307"/>
      <c r="H22" s="307"/>
      <c r="I22" s="307"/>
      <c r="J22" s="307"/>
      <c r="K22" s="307"/>
      <c r="L22" s="308"/>
      <c r="N22" s="161" t="s">
        <v>32</v>
      </c>
      <c r="O22" s="262" t="s">
        <v>33</v>
      </c>
      <c r="P22" s="262"/>
      <c r="Q22" s="262"/>
      <c r="R22" s="262"/>
      <c r="S22" s="196"/>
      <c r="T22" s="351"/>
      <c r="U22" s="351"/>
      <c r="V22" s="351"/>
      <c r="W22" s="351"/>
    </row>
    <row r="23" spans="1:23" s="1" customFormat="1" ht="20.100000000000001" customHeight="1" x14ac:dyDescent="0.3">
      <c r="A23" s="291" t="s">
        <v>416</v>
      </c>
      <c r="B23" s="292"/>
      <c r="C23" s="292"/>
      <c r="D23" s="292"/>
      <c r="E23" s="292"/>
      <c r="F23" s="292"/>
      <c r="G23" s="293" t="str">
        <f>IF(AND(OR($A$10&gt;150,$B$10&gt;130,$C$10&gt;280,$D$10&gt;90,$E$10&gt;20,$F$10&gt;600),D190&lt;0.01,D189&lt;0.1,D193&lt;0.2),"PD",IF(AND(OR($A$10&gt;150,$B$10&gt;130,$C$10&gt;280,$D$10&gt;90,$E$10&gt;20,$F$10&gt;600),D190&gt;1,D189&gt;0.1,D189&lt;0.5,D193&gt;1),"D1",IF(AND(OR($A$10&gt;150,$B$10&gt;130,$C$10&gt;280,$D$10&gt;90,$E$10&gt;20,$F$10&gt;600),D190&gt;0.6,D190&lt;2.5,D189&gt;0.1,D189&lt;1,D193&gt;2),"D2",IF(AND(OR($A$10&gt;150,$B$10&gt;130,$C$10&gt;280,$D$10&gt;90,$E$10&gt;20,$F$10&gt;600),D190&lt;0.01,D189&lt;0.01,D189&gt;1,D193&lt;1),"T1",IF(AND(OR($A$10&gt;150,$B$10&gt;130,$C$10&gt;280,$D$10&gt;90,$E$10&gt;20,$F$10&gt;600),D190&lt;0.1,D189&gt;1,D193&gt;1,D193&lt;4),"T2",IF(AND(OR($A$10&gt;150,$B$10&gt;130,$C$10&gt;280,$D$10&gt;90,$E$10&gt;20,$F$10&gt;600),D190&lt;0.2,D189&gt;1,D193&gt;4),"T3",""))))))</f>
        <v>T2</v>
      </c>
      <c r="H23" s="294"/>
      <c r="I23" s="294"/>
      <c r="J23" s="294"/>
      <c r="K23" s="294"/>
      <c r="L23" s="295"/>
      <c r="N23" s="161" t="s">
        <v>280</v>
      </c>
      <c r="O23" s="262" t="s">
        <v>444</v>
      </c>
      <c r="P23" s="262"/>
      <c r="Q23" s="262"/>
      <c r="R23" s="262"/>
      <c r="S23" s="196"/>
      <c r="T23" s="351"/>
      <c r="U23" s="351"/>
      <c r="V23" s="351"/>
      <c r="W23" s="351"/>
    </row>
    <row r="24" spans="1:23" s="1" customFormat="1" ht="20.100000000000001" customHeight="1" x14ac:dyDescent="0.3">
      <c r="A24" s="291" t="s">
        <v>417</v>
      </c>
      <c r="B24" s="292"/>
      <c r="C24" s="292"/>
      <c r="D24" s="292"/>
      <c r="E24" s="292"/>
      <c r="F24" s="292"/>
      <c r="G24" s="309" t="str">
        <f>IF(AND(OR(($A$10&gt;100),($B$10&gt;120),($C$10&gt;50),($E$10&gt;1),($D$10&gt;65),($F$10&gt;350)),$D$190&lt;0.1,$D$189&gt;0.1,$D$189&lt;=1,$D$193&lt;1),"Máy vận hành bình thường",IF(AND(OR(($A$10&gt;100),($B$10&gt;120),($C$10&gt;50),($E$10&gt;1),($D$10&gt;65),($F$10&gt;350)),$D$190&lt;0.1,$D$189&gt;0.1,$D$189&lt;=1,$D$193&gt;1,$D$193&lt;=3),"T1",IF(AND(OR(($A$10&gt;100),($B$10&gt;120),($C$10&gt;50),($E$10&gt;1),($D$10&gt;65),($F$10&gt;350)),$D$190&lt;0.1,$D$189&gt;1,$D$193&gt;1,$D$193&lt;=3),"T2",IF(AND(OR(($A$10&gt;100),($B$10&gt;120),($C$10&gt;50),($E$10&gt;1),($D$10&gt;65),($F$10&gt;350)),$D$190&lt;0.1,$D$189&gt;1,$D$193&gt;3),"T3",IF(AND(OR(($A$10&gt;100),($B$10&gt;120),($C$10&gt;50),($E$10&gt;1),($D$10&gt;65),($F$10&gt;350)),$D$190&lt;0.1,$D$189&lt;0.1,$D$193&lt;1),"PD",
IF(AND(OR(($A$10&gt;100),($B$10&gt;120),($C$10&gt;50),($E$10&gt;1),($D$10&gt;65),($F$10&gt;350)),$D$190&gt;0.1,$D$190&lt;=3,$D$189&gt;0.1,$D$189&lt;=1,$D$193&gt;3)," D2",""))))))</f>
        <v>T2</v>
      </c>
      <c r="H24" s="310"/>
      <c r="I24" s="310"/>
      <c r="J24" s="294"/>
      <c r="K24" s="294"/>
      <c r="L24" s="295"/>
      <c r="N24" s="161" t="s">
        <v>293</v>
      </c>
      <c r="O24" s="262" t="s">
        <v>308</v>
      </c>
      <c r="P24" s="262"/>
      <c r="Q24" s="262"/>
      <c r="R24" s="262"/>
      <c r="S24" s="196"/>
      <c r="T24" s="351"/>
      <c r="U24" s="351"/>
      <c r="V24" s="351"/>
      <c r="W24" s="351"/>
    </row>
    <row r="25" spans="1:23" s="1" customFormat="1" ht="20.100000000000001" customHeight="1" x14ac:dyDescent="0.3">
      <c r="A25" s="291" t="s">
        <v>418</v>
      </c>
      <c r="B25" s="292"/>
      <c r="C25" s="292"/>
      <c r="D25" s="292"/>
      <c r="E25" s="292"/>
      <c r="F25" s="292"/>
      <c r="G25" s="252" t="e">
        <f>IF(AND(AND(OR(($A$10&gt;2*100),($B$10&gt;2*120),($C$10&gt;2*50),($E$10&gt;2*1)),OR($D$10&gt;65,$F$10&gt;350)),$D$189&lt;0.1,$D$191&lt;0.3,$D$192&gt;0.4)," D1",IF(AND(AND(OR(($A$10&gt;2*100),($B$10&gt;2*120),($C$10&gt;2*50),($E$10&gt;2*1)),OR($D$10&gt;65,$F$10&gt;350)),$D$189&gt;0.1,$D$189&lt;1,$D$190&gt;0.75,$D$191&gt;0.3,$D$192&lt;0.4),"D2",IF(AND(AND(OR(($A$10&gt;2*100),($B$10&gt;2*120),($C$10&gt;2*50),($E$10&gt;2*1)),OR($D$10&gt;65,$F$10&gt;350)),$D$189&gt;1,$D$190&lt;0.75,$D$191&lt;0.3,$D$192&gt;0.4),"T","")))</f>
        <v>#DIV/0!</v>
      </c>
      <c r="H25" s="302"/>
      <c r="I25" s="302"/>
      <c r="J25" s="302"/>
      <c r="K25" s="302"/>
      <c r="L25" s="311"/>
      <c r="N25" s="161" t="s">
        <v>271</v>
      </c>
      <c r="O25" s="269" t="s">
        <v>309</v>
      </c>
      <c r="P25" s="262"/>
      <c r="Q25" s="262"/>
      <c r="R25" s="262"/>
      <c r="S25" s="196"/>
      <c r="T25" s="351"/>
      <c r="U25" s="351"/>
      <c r="V25" s="351"/>
      <c r="W25" s="351"/>
    </row>
    <row r="26" spans="1:23" s="1" customFormat="1" ht="20.100000000000001" customHeight="1" x14ac:dyDescent="0.3">
      <c r="A26" s="291" t="s">
        <v>419</v>
      </c>
      <c r="B26" s="292"/>
      <c r="C26" s="292"/>
      <c r="D26" s="292"/>
      <c r="E26" s="292"/>
      <c r="F26" s="292"/>
      <c r="G26" s="293" t="str">
        <f>IF(AND(OR(($A$10&gt;100),($B$10&gt;120),($C$10&gt;50),($E$10&gt;10),($D$10&gt;65),($F$10&gt;500)),$D$190&lt;0.1,$D$189&gt;0.1,$D$189&lt;1,$D$193&lt;1),"Máy vận hành bình thường",IF(AND(OR(($A$10&gt;100),($B$10&gt;120),($C$10&gt;50),($E$10&gt;10),($D$10&gt;65),($F$10&gt;500)),$D$190&lt;0.1,$D$189&lt;0.1,$D$193&lt;=1),"PD-NLT",IF(AND(OR(($A$10&gt;100),($B$10&gt;120),($C$10&gt;50),($E$10&gt;10),($D$10&gt;65),($F$10&gt;500)),$D$190&gt;0.1,$D$190&lt;3,$D$189&lt;0.1,$D$193&lt;=1),"PD-NLC",IF(AND(OR(($A$10&gt;100),($B$10&gt;120),($C$10&gt;50),($E$10&gt;10),($D$10&gt;65),($F$10&gt;500)),$D$190&gt;0.1,$D$189&gt;0.1,$D$189&lt;1,$D$193&gt;1,$D$193&lt;3),"D1",IF(AND(OR(($A$10&gt;100),($B$10&gt;120),($C$10&gt;50),($E$10&gt;10),($D$10&gt;65),($F$10&gt;500)),$D$190&gt;0.1,$D$190&lt;3,$D$189&gt;0.1,$D$189&lt;1,$D$193&gt;=3),"D2",(""))))))</f>
        <v/>
      </c>
      <c r="H26" s="294"/>
      <c r="I26" s="295"/>
      <c r="J26" s="305" t="str">
        <f>IF(AND(OR(($A$10&gt;100),($B$10&gt;120),($C$10&gt;50),($E$10&gt;10),($D$10&gt;65),($F$10&gt;500)),$D$190&lt;0.1,$D$189&gt;0.1,$D$189&lt;1,$D$193&gt;1,$D$193&lt;3),"To",IF(AND(OR(($A$10&gt;100),($B$10&gt;120),($C$10&gt;50),($E$10&gt;10),($D$10&gt;65),($F$10&gt;500)),$D$190&lt;0.1,$D$189&gt;=1,$D$193&lt;1),"T1",
IF(AND(OR(($A$10&gt;100),($B$10&gt;120),($C$10&gt;50),($E$10&gt;10),($D$10&gt;65),($F$10&gt;500)),$D$190&lt;0.1,$D$189&gt;=1,$D$193&gt;1,$D$193&lt;3),"T2",IF(AND(OR(($A$10&gt;100),($B$10&gt;120),($C$10&gt;50),($E$10&gt;10),($D$10&gt;65),($F$10&gt;500)),$D$190&lt;0.1,$D$189&gt;=1,$D$193&gt;=3),"T3",
IF(AND(OR(($A$10&gt;100),($B$10&gt;120),($C$10&gt;50),($E$10&gt;10),($D$10&gt;65),($F$10&gt;500)),$D$190&lt;0.1,$D$189&gt;=1,$D$193&gt;=3),"T3","")))))</f>
        <v>T2</v>
      </c>
      <c r="K26" s="305"/>
      <c r="L26" s="305"/>
      <c r="M26" s="234"/>
      <c r="N26" s="233" t="s">
        <v>276</v>
      </c>
      <c r="O26" s="257" t="s">
        <v>310</v>
      </c>
      <c r="P26" s="258"/>
      <c r="Q26" s="258"/>
      <c r="R26" s="258"/>
      <c r="S26" s="196"/>
      <c r="T26" s="352"/>
      <c r="U26" s="352"/>
      <c r="V26" s="352"/>
      <c r="W26" s="352"/>
    </row>
    <row r="27" spans="1:23" s="1" customFormat="1" ht="20.100000000000001" customHeight="1" x14ac:dyDescent="0.3">
      <c r="A27" s="291" t="s">
        <v>420</v>
      </c>
      <c r="B27" s="292"/>
      <c r="C27" s="292"/>
      <c r="D27" s="292"/>
      <c r="E27" s="292"/>
      <c r="F27" s="292"/>
      <c r="G27" s="293" t="str">
        <f>F138</f>
        <v>Phóng hồ quang điện</v>
      </c>
      <c r="H27" s="294"/>
      <c r="I27" s="294"/>
      <c r="J27" s="294"/>
      <c r="K27" s="294"/>
      <c r="L27" s="295"/>
      <c r="N27" s="161" t="s">
        <v>36</v>
      </c>
      <c r="O27" s="262" t="s">
        <v>445</v>
      </c>
      <c r="P27" s="262"/>
      <c r="Q27" s="262"/>
      <c r="R27" s="262"/>
      <c r="S27" s="196"/>
      <c r="T27" s="351"/>
      <c r="U27" s="351"/>
      <c r="V27" s="351"/>
      <c r="W27" s="351"/>
    </row>
    <row r="28" spans="1:23" s="1" customFormat="1" ht="20.100000000000001" customHeight="1" x14ac:dyDescent="0.3">
      <c r="A28" s="291" t="s">
        <v>23</v>
      </c>
      <c r="B28" s="292"/>
      <c r="C28" s="292"/>
      <c r="D28" s="292"/>
      <c r="E28" s="292"/>
      <c r="F28" s="292"/>
      <c r="G28" s="293" t="str">
        <f>E157</f>
        <v>Phân hủy nhiệt ở nhiệt độ 300&lt;T&lt;700 (T2)</v>
      </c>
      <c r="H28" s="294"/>
      <c r="I28" s="294"/>
      <c r="J28" s="294"/>
      <c r="K28" s="294"/>
      <c r="L28" s="295"/>
      <c r="N28" s="161" t="s">
        <v>34</v>
      </c>
      <c r="O28" s="262" t="s">
        <v>446</v>
      </c>
      <c r="P28" s="262"/>
      <c r="Q28" s="262"/>
      <c r="R28" s="262"/>
      <c r="S28" s="196"/>
      <c r="T28" s="351"/>
      <c r="U28" s="351"/>
      <c r="V28" s="351"/>
      <c r="W28" s="351"/>
    </row>
    <row r="29" spans="1:23" s="1" customFormat="1" ht="20.100000000000001" customHeight="1" x14ac:dyDescent="0.3">
      <c r="A29" s="291" t="s">
        <v>421</v>
      </c>
      <c r="B29" s="292"/>
      <c r="C29" s="292"/>
      <c r="D29" s="292"/>
      <c r="E29" s="292"/>
      <c r="F29" s="292"/>
      <c r="G29" s="293" t="str">
        <f>E110</f>
        <v>T1</v>
      </c>
      <c r="H29" s="294"/>
      <c r="I29" s="294"/>
      <c r="J29" s="293" t="str">
        <f>I110</f>
        <v>T2</v>
      </c>
      <c r="K29" s="294"/>
      <c r="L29" s="295"/>
      <c r="N29" s="161" t="s">
        <v>404</v>
      </c>
      <c r="O29" s="238" t="s">
        <v>409</v>
      </c>
      <c r="P29" s="238"/>
      <c r="Q29" s="238"/>
      <c r="R29" s="238"/>
      <c r="S29" s="196"/>
      <c r="T29" s="353"/>
      <c r="U29" s="353"/>
      <c r="V29" s="353"/>
      <c r="W29" s="353"/>
    </row>
    <row r="30" spans="1:23" s="1" customFormat="1" ht="20.100000000000001" customHeight="1" x14ac:dyDescent="0.3">
      <c r="A30" s="291" t="s">
        <v>422</v>
      </c>
      <c r="B30" s="292"/>
      <c r="C30" s="292"/>
      <c r="D30" s="292"/>
      <c r="E30" s="292"/>
      <c r="F30" s="292"/>
      <c r="G30" s="293" t="str">
        <f>A70</f>
        <v>T3</v>
      </c>
      <c r="H30" s="294"/>
      <c r="I30" s="294"/>
      <c r="J30" s="294"/>
      <c r="K30" s="294"/>
      <c r="L30" s="295"/>
      <c r="N30" s="230" t="s">
        <v>38</v>
      </c>
      <c r="O30" s="262" t="s">
        <v>449</v>
      </c>
      <c r="P30" s="262"/>
      <c r="Q30" s="262"/>
      <c r="R30" s="262"/>
      <c r="S30" s="236"/>
      <c r="T30" s="351"/>
      <c r="U30" s="351"/>
      <c r="V30" s="351"/>
      <c r="W30" s="351"/>
    </row>
    <row r="31" spans="1:23" s="1" customFormat="1" ht="20.100000000000001" customHeight="1" x14ac:dyDescent="0.3">
      <c r="A31" s="291" t="s">
        <v>24</v>
      </c>
      <c r="B31" s="292"/>
      <c r="C31" s="292"/>
      <c r="D31" s="292"/>
      <c r="E31" s="292"/>
      <c r="F31" s="292"/>
      <c r="G31" s="293" t="str">
        <f>B80</f>
        <v>T2</v>
      </c>
      <c r="H31" s="294"/>
      <c r="I31" s="294"/>
      <c r="J31" s="294"/>
      <c r="K31" s="294"/>
      <c r="L31" s="295"/>
      <c r="N31" s="230" t="s">
        <v>40</v>
      </c>
      <c r="O31" s="356" t="s">
        <v>447</v>
      </c>
      <c r="P31" s="357"/>
      <c r="Q31" s="357"/>
      <c r="R31" s="357"/>
      <c r="S31" s="236"/>
      <c r="T31" s="354"/>
      <c r="U31" s="355"/>
      <c r="V31" s="355"/>
      <c r="W31" s="355"/>
    </row>
    <row r="32" spans="1:23" s="1" customFormat="1" ht="20.100000000000001" customHeight="1" x14ac:dyDescent="0.3">
      <c r="A32" s="246" t="s">
        <v>338</v>
      </c>
      <c r="B32" s="247"/>
      <c r="C32" s="247"/>
      <c r="D32" s="247"/>
      <c r="E32" s="247"/>
      <c r="F32" s="248"/>
      <c r="G32" s="249" t="str">
        <f>I196</f>
        <v>C</v>
      </c>
      <c r="H32" s="250"/>
      <c r="I32" s="250"/>
      <c r="J32" s="250"/>
      <c r="K32" s="250"/>
      <c r="L32" s="251"/>
      <c r="N32" s="230" t="s">
        <v>42</v>
      </c>
      <c r="O32" s="356" t="s">
        <v>448</v>
      </c>
      <c r="P32" s="357"/>
      <c r="Q32" s="357"/>
      <c r="R32" s="357"/>
      <c r="S32" s="236"/>
      <c r="T32" s="354"/>
      <c r="U32" s="355"/>
      <c r="V32" s="355"/>
      <c r="W32" s="355"/>
    </row>
    <row r="33" spans="1:23" s="1" customFormat="1" ht="20.100000000000001" customHeight="1" x14ac:dyDescent="0.3">
      <c r="A33" s="246" t="s">
        <v>426</v>
      </c>
      <c r="B33" s="247"/>
      <c r="C33" s="247"/>
      <c r="D33" s="247"/>
      <c r="E33" s="247"/>
      <c r="F33" s="248"/>
      <c r="G33" s="252" t="str">
        <f>J224</f>
        <v>C</v>
      </c>
      <c r="H33" s="253"/>
      <c r="I33" s="253"/>
      <c r="J33" s="253"/>
      <c r="K33" s="253"/>
      <c r="L33" s="254"/>
      <c r="N33" s="235" t="s">
        <v>414</v>
      </c>
      <c r="O33" s="358" t="s">
        <v>415</v>
      </c>
      <c r="P33" s="359"/>
      <c r="Q33" s="359"/>
      <c r="R33" s="359"/>
      <c r="S33" s="236"/>
      <c r="T33" s="354"/>
      <c r="U33" s="355"/>
      <c r="V33" s="355"/>
      <c r="W33" s="355"/>
    </row>
    <row r="34" spans="1:23" s="1" customFormat="1" ht="20.100000000000001" customHeight="1" x14ac:dyDescent="0.3">
      <c r="A34" s="246" t="s">
        <v>423</v>
      </c>
      <c r="B34" s="247"/>
      <c r="C34" s="247"/>
      <c r="D34" s="247"/>
      <c r="E34" s="247"/>
      <c r="F34" s="247"/>
      <c r="G34" s="302" t="str">
        <f>F249</f>
        <v>T2</v>
      </c>
      <c r="H34" s="303"/>
      <c r="I34" s="303"/>
      <c r="J34" s="303"/>
      <c r="K34" s="303"/>
      <c r="L34" s="304"/>
    </row>
    <row r="35" spans="1:23" s="1" customFormat="1" ht="20.100000000000001" customHeight="1" x14ac:dyDescent="0.3">
      <c r="A35" s="246" t="s">
        <v>424</v>
      </c>
      <c r="B35" s="247"/>
      <c r="C35" s="247"/>
      <c r="D35" s="247"/>
      <c r="E35" s="247"/>
      <c r="F35" s="247"/>
      <c r="G35" s="302" t="str">
        <f>N249</f>
        <v>C</v>
      </c>
      <c r="H35" s="303"/>
      <c r="I35" s="303"/>
      <c r="J35" s="303"/>
      <c r="K35" s="303"/>
      <c r="L35" s="304"/>
    </row>
    <row r="36" spans="1:23" s="1" customFormat="1" ht="20.100000000000001" customHeight="1" x14ac:dyDescent="0.3">
      <c r="A36" s="296" t="s">
        <v>167</v>
      </c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8"/>
    </row>
    <row r="37" spans="1:23" s="1" customFormat="1" ht="20.100000000000001" customHeight="1" x14ac:dyDescent="0.3">
      <c r="A37" s="299" t="s">
        <v>168</v>
      </c>
      <c r="B37" s="300"/>
      <c r="C37" s="300"/>
      <c r="D37" s="300"/>
      <c r="E37" s="300"/>
      <c r="F37" s="300"/>
      <c r="G37" s="300"/>
      <c r="H37" s="300"/>
      <c r="I37" s="300"/>
      <c r="J37" s="300"/>
      <c r="K37" s="300"/>
      <c r="L37" s="301"/>
    </row>
    <row r="38" spans="1:23" s="1" customFormat="1" ht="20.100000000000001" customHeight="1" x14ac:dyDescent="0.3">
      <c r="A38" s="346" t="s">
        <v>169</v>
      </c>
      <c r="B38" s="347"/>
      <c r="C38" s="347"/>
      <c r="D38" s="347"/>
      <c r="E38" s="347"/>
      <c r="F38" s="347"/>
      <c r="G38" s="347"/>
      <c r="H38" s="347"/>
      <c r="I38" s="347"/>
      <c r="J38" s="347"/>
      <c r="K38" s="347"/>
      <c r="L38" s="348"/>
    </row>
    <row r="39" spans="1:23" s="1" customFormat="1" ht="20.100000000000001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23" s="1" customFormat="1" ht="20.100000000000001" customHeight="1" x14ac:dyDescent="0.3">
      <c r="A40" s="349" t="s">
        <v>56</v>
      </c>
      <c r="B40" s="349"/>
      <c r="C40" s="349"/>
      <c r="D40" s="17"/>
      <c r="E40" s="17"/>
      <c r="F40" s="17"/>
      <c r="G40" s="17"/>
      <c r="H40" s="17"/>
      <c r="I40" s="17"/>
      <c r="J40" s="17"/>
      <c r="K40" s="17"/>
      <c r="L40" s="17"/>
    </row>
    <row r="41" spans="1:23" s="1" customFormat="1" ht="20.100000000000001" customHeigh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23" ht="20.100000000000001" customHeight="1" x14ac:dyDescent="0.25">
      <c r="A42" s="290" t="s">
        <v>54</v>
      </c>
      <c r="B42" s="290"/>
      <c r="C42" s="290"/>
      <c r="D42" s="290"/>
      <c r="E42" s="350" t="s">
        <v>25</v>
      </c>
      <c r="F42" s="350"/>
      <c r="G42" s="350"/>
      <c r="H42" s="19" t="s">
        <v>26</v>
      </c>
      <c r="I42" s="19" t="s">
        <v>27</v>
      </c>
      <c r="J42" s="19" t="s">
        <v>28</v>
      </c>
      <c r="O42" s="285"/>
      <c r="P42" s="285"/>
      <c r="Q42" s="25"/>
      <c r="R42" s="25"/>
      <c r="S42" s="25"/>
      <c r="T42" s="25"/>
      <c r="U42" s="25"/>
      <c r="V42" s="25"/>
    </row>
    <row r="43" spans="1:23" ht="20.100000000000001" customHeight="1" x14ac:dyDescent="0.2">
      <c r="F43" s="90">
        <f>B10+C10+E10</f>
        <v>1568</v>
      </c>
      <c r="H43" s="20">
        <f>B10/F43</f>
        <v>0.49744897959183676</v>
      </c>
      <c r="I43" s="20">
        <f>C10/F43</f>
        <v>0.50255102040816324</v>
      </c>
      <c r="J43" s="20">
        <f>E10/F43</f>
        <v>0</v>
      </c>
      <c r="O43" s="25"/>
      <c r="P43" s="25"/>
      <c r="Q43" s="25"/>
      <c r="R43" s="25"/>
      <c r="S43" s="25"/>
      <c r="T43" s="25"/>
      <c r="U43" s="25"/>
      <c r="V43" s="25"/>
    </row>
    <row r="44" spans="1:23" ht="20.100000000000001" customHeight="1" x14ac:dyDescent="0.2">
      <c r="O44" s="25"/>
      <c r="P44" s="25"/>
      <c r="Q44" s="25"/>
      <c r="R44" s="25"/>
      <c r="S44" s="25"/>
      <c r="T44" s="25"/>
      <c r="U44" s="25"/>
      <c r="V44" s="25"/>
    </row>
    <row r="45" spans="1:23" ht="20.100000000000001" customHeight="1" x14ac:dyDescent="0.2">
      <c r="O45" s="25"/>
      <c r="P45" s="25"/>
      <c r="Q45" s="25"/>
      <c r="R45" s="25"/>
      <c r="S45" s="25"/>
      <c r="T45" s="25"/>
      <c r="U45" s="25"/>
      <c r="V45" s="25"/>
    </row>
    <row r="46" spans="1:23" ht="20.100000000000001" customHeight="1" x14ac:dyDescent="0.2">
      <c r="O46" s="25"/>
      <c r="P46" s="25"/>
      <c r="Q46" s="25"/>
      <c r="R46" s="25"/>
      <c r="S46" s="25"/>
      <c r="T46" s="25"/>
      <c r="U46" s="25"/>
      <c r="V46" s="25"/>
    </row>
    <row r="47" spans="1:23" ht="20.100000000000001" customHeight="1" x14ac:dyDescent="0.2">
      <c r="O47" s="25"/>
      <c r="P47" s="25"/>
      <c r="Q47" s="25"/>
      <c r="R47" s="25"/>
      <c r="S47" s="25"/>
      <c r="T47" s="25"/>
      <c r="U47" s="25"/>
      <c r="V47" s="25"/>
    </row>
    <row r="48" spans="1:23" ht="20.100000000000001" customHeight="1" x14ac:dyDescent="0.2">
      <c r="O48" s="25"/>
      <c r="P48" s="25"/>
      <c r="Q48" s="25"/>
      <c r="R48" s="25"/>
      <c r="S48" s="25"/>
      <c r="T48" s="25"/>
      <c r="U48" s="25"/>
      <c r="V48" s="25"/>
    </row>
    <row r="49" spans="14:22" ht="20.100000000000001" customHeight="1" x14ac:dyDescent="0.2">
      <c r="O49" s="25"/>
      <c r="P49" s="25"/>
      <c r="Q49" s="25"/>
      <c r="R49" s="25"/>
      <c r="S49" s="25"/>
      <c r="T49" s="25"/>
      <c r="U49" s="25"/>
      <c r="V49" s="25"/>
    </row>
    <row r="50" spans="14:22" ht="20.100000000000001" customHeight="1" x14ac:dyDescent="0.2">
      <c r="O50" s="25"/>
      <c r="P50" s="25"/>
      <c r="Q50" s="25"/>
      <c r="R50" s="25"/>
      <c r="S50" s="25"/>
      <c r="T50" s="25"/>
      <c r="U50" s="25"/>
      <c r="V50" s="25"/>
    </row>
    <row r="51" spans="14:22" ht="20.100000000000001" customHeight="1" x14ac:dyDescent="0.2">
      <c r="O51" s="25"/>
      <c r="P51" s="25"/>
      <c r="Q51" s="25"/>
      <c r="R51" s="25"/>
      <c r="S51" s="25"/>
      <c r="T51" s="25"/>
      <c r="U51" s="25"/>
      <c r="V51" s="25"/>
    </row>
    <row r="52" spans="14:22" ht="20.100000000000001" customHeight="1" x14ac:dyDescent="0.2">
      <c r="O52" s="25"/>
      <c r="P52" s="25"/>
      <c r="Q52" s="25"/>
      <c r="R52" s="25"/>
      <c r="S52" s="25"/>
      <c r="T52" s="25"/>
      <c r="U52" s="25"/>
      <c r="V52" s="25"/>
    </row>
    <row r="53" spans="14:22" ht="20.100000000000001" customHeight="1" x14ac:dyDescent="0.2">
      <c r="O53" s="25"/>
      <c r="P53" s="25"/>
      <c r="Q53" s="25"/>
      <c r="R53" s="25"/>
      <c r="S53" s="25"/>
      <c r="T53" s="25"/>
      <c r="U53" s="25"/>
      <c r="V53" s="25"/>
    </row>
    <row r="54" spans="14:22" ht="20.100000000000001" customHeight="1" x14ac:dyDescent="0.2">
      <c r="O54" s="25"/>
      <c r="P54" s="25"/>
      <c r="Q54" s="25"/>
      <c r="R54" s="25"/>
      <c r="S54" s="25"/>
      <c r="T54" s="25"/>
      <c r="U54" s="25"/>
      <c r="V54" s="25"/>
    </row>
    <row r="55" spans="14:22" ht="20.100000000000001" customHeight="1" x14ac:dyDescent="0.2">
      <c r="O55" s="25"/>
      <c r="P55" s="25"/>
      <c r="Q55" s="25"/>
      <c r="R55" s="25"/>
      <c r="S55" s="25"/>
      <c r="T55" s="25"/>
      <c r="U55" s="25"/>
      <c r="V55" s="25"/>
    </row>
    <row r="56" spans="14:22" ht="20.100000000000001" customHeight="1" x14ac:dyDescent="0.2">
      <c r="O56" s="25"/>
      <c r="P56" s="25"/>
      <c r="Q56" s="25"/>
      <c r="R56" s="25"/>
      <c r="S56" s="25"/>
      <c r="T56" s="25"/>
      <c r="U56" s="25"/>
      <c r="V56" s="25"/>
    </row>
    <row r="57" spans="14:22" ht="20.100000000000001" customHeight="1" x14ac:dyDescent="0.2">
      <c r="O57" s="25"/>
      <c r="P57" s="25"/>
      <c r="Q57" s="25"/>
      <c r="R57" s="25"/>
      <c r="S57" s="25"/>
      <c r="T57" s="25"/>
      <c r="U57" s="25"/>
      <c r="V57" s="25"/>
    </row>
    <row r="58" spans="14:22" ht="20.100000000000001" customHeight="1" x14ac:dyDescent="0.2">
      <c r="O58" s="25"/>
      <c r="P58" s="25"/>
      <c r="Q58" s="25"/>
      <c r="R58" s="25"/>
      <c r="S58" s="25"/>
      <c r="T58" s="25"/>
      <c r="U58" s="25"/>
      <c r="V58" s="25"/>
    </row>
    <row r="59" spans="14:22" ht="20.100000000000001" customHeight="1" x14ac:dyDescent="0.2">
      <c r="N59" s="21"/>
      <c r="O59" s="26"/>
      <c r="P59" s="26"/>
      <c r="Q59" s="26"/>
      <c r="R59" s="25"/>
      <c r="S59" s="25"/>
      <c r="T59" s="25"/>
      <c r="U59" s="25"/>
      <c r="V59" s="25"/>
    </row>
    <row r="60" spans="14:22" ht="20.100000000000001" customHeight="1" x14ac:dyDescent="0.2">
      <c r="N60" s="21"/>
      <c r="O60" s="26"/>
      <c r="P60" s="26"/>
      <c r="Q60" s="26"/>
      <c r="R60" s="25"/>
      <c r="S60" s="25"/>
      <c r="T60" s="25"/>
      <c r="U60" s="25"/>
      <c r="V60" s="25"/>
    </row>
    <row r="69" spans="1:15" s="5" customFormat="1" ht="20.100000000000001" customHeight="1" x14ac:dyDescent="0.25">
      <c r="A69" s="22" t="s">
        <v>55</v>
      </c>
      <c r="B69" s="8" t="s">
        <v>30</v>
      </c>
      <c r="C69" s="286" t="s">
        <v>31</v>
      </c>
      <c r="D69" s="287"/>
      <c r="E69" s="287"/>
      <c r="F69" s="287"/>
      <c r="G69" s="287"/>
      <c r="H69" s="287"/>
      <c r="I69" s="288"/>
    </row>
    <row r="70" spans="1:15" s="5" customFormat="1" ht="20.100000000000001" customHeight="1" x14ac:dyDescent="0.25">
      <c r="A70" s="289" t="str">
        <f>Sheet2!K14</f>
        <v>T3</v>
      </c>
      <c r="B70" s="16" t="s">
        <v>32</v>
      </c>
      <c r="C70" s="273" t="s">
        <v>33</v>
      </c>
      <c r="D70" s="274"/>
      <c r="E70" s="274"/>
      <c r="F70" s="274"/>
      <c r="G70" s="274"/>
      <c r="H70" s="274"/>
      <c r="I70" s="275"/>
    </row>
    <row r="71" spans="1:15" s="5" customFormat="1" ht="20.100000000000001" customHeight="1" x14ac:dyDescent="0.25">
      <c r="A71" s="289"/>
      <c r="B71" s="16" t="s">
        <v>34</v>
      </c>
      <c r="C71" s="273" t="s">
        <v>35</v>
      </c>
      <c r="D71" s="274"/>
      <c r="E71" s="274"/>
      <c r="F71" s="274"/>
      <c r="G71" s="274"/>
      <c r="H71" s="274"/>
      <c r="I71" s="275"/>
    </row>
    <row r="72" spans="1:15" s="5" customFormat="1" ht="20.100000000000001" customHeight="1" x14ac:dyDescent="0.25">
      <c r="A72" s="23"/>
      <c r="B72" s="16" t="s">
        <v>36</v>
      </c>
      <c r="C72" s="273" t="s">
        <v>37</v>
      </c>
      <c r="D72" s="274"/>
      <c r="E72" s="274"/>
      <c r="F72" s="274"/>
      <c r="G72" s="274"/>
      <c r="H72" s="274"/>
      <c r="I72" s="275"/>
    </row>
    <row r="73" spans="1:15" s="5" customFormat="1" ht="20.100000000000001" customHeight="1" x14ac:dyDescent="0.25">
      <c r="A73" s="23"/>
      <c r="B73" s="16" t="s">
        <v>38</v>
      </c>
      <c r="C73" s="273" t="s">
        <v>39</v>
      </c>
      <c r="D73" s="274"/>
      <c r="E73" s="274"/>
      <c r="F73" s="274"/>
      <c r="G73" s="274"/>
      <c r="H73" s="274"/>
      <c r="I73" s="275"/>
    </row>
    <row r="74" spans="1:15" s="5" customFormat="1" ht="20.100000000000001" customHeight="1" x14ac:dyDescent="0.25">
      <c r="A74" s="23"/>
      <c r="B74" s="16" t="s">
        <v>40</v>
      </c>
      <c r="C74" s="273" t="s">
        <v>41</v>
      </c>
      <c r="D74" s="274"/>
      <c r="E74" s="274"/>
      <c r="F74" s="274"/>
      <c r="G74" s="274"/>
      <c r="H74" s="274"/>
      <c r="I74" s="275"/>
    </row>
    <row r="75" spans="1:15" s="5" customFormat="1" ht="20.100000000000001" customHeight="1" x14ac:dyDescent="0.25">
      <c r="A75" s="23"/>
      <c r="B75" s="16" t="s">
        <v>42</v>
      </c>
      <c r="C75" s="273" t="s">
        <v>43</v>
      </c>
      <c r="D75" s="274"/>
      <c r="E75" s="274"/>
      <c r="F75" s="274"/>
      <c r="G75" s="274"/>
      <c r="H75" s="274"/>
      <c r="I75" s="275"/>
    </row>
    <row r="76" spans="1:15" s="5" customFormat="1" ht="20.100000000000001" customHeight="1" x14ac:dyDescent="0.25">
      <c r="A76" s="24"/>
      <c r="B76" s="16" t="s">
        <v>58</v>
      </c>
      <c r="C76" s="273" t="s">
        <v>59</v>
      </c>
      <c r="D76" s="274"/>
      <c r="E76" s="274"/>
      <c r="F76" s="274"/>
      <c r="G76" s="274"/>
      <c r="H76" s="274"/>
      <c r="I76" s="275"/>
    </row>
    <row r="78" spans="1:15" ht="20.100000000000001" customHeight="1" x14ac:dyDescent="0.25">
      <c r="A78" s="290" t="s">
        <v>123</v>
      </c>
      <c r="B78" s="290"/>
      <c r="C78" s="290"/>
      <c r="D78" s="290"/>
      <c r="E78" s="290"/>
      <c r="G78" s="272" t="s">
        <v>119</v>
      </c>
      <c r="H78" s="272"/>
      <c r="I78" s="272" t="s">
        <v>120</v>
      </c>
      <c r="J78" s="272"/>
      <c r="K78" s="272"/>
      <c r="L78" s="19" t="s">
        <v>121</v>
      </c>
      <c r="M78" s="19" t="s">
        <v>122</v>
      </c>
      <c r="N78" s="19" t="s">
        <v>28</v>
      </c>
      <c r="O78" s="25"/>
    </row>
    <row r="79" spans="1:15" ht="20.100000000000001" customHeight="1" x14ac:dyDescent="0.2">
      <c r="G79" s="276">
        <f>B10+C10+D10</f>
        <v>1835</v>
      </c>
      <c r="H79" s="277"/>
      <c r="I79" s="276">
        <f>G79+A10+E10</f>
        <v>1934</v>
      </c>
      <c r="J79" s="278"/>
      <c r="K79" s="277"/>
      <c r="L79" s="20">
        <f>A10/I79</f>
        <v>5.1189245087900723E-2</v>
      </c>
      <c r="M79" s="20">
        <f>G79/I79</f>
        <v>0.94881075491209932</v>
      </c>
      <c r="N79" s="20">
        <f>E10/I79</f>
        <v>0</v>
      </c>
      <c r="O79" s="70"/>
    </row>
    <row r="80" spans="1:15" ht="20.100000000000001" customHeight="1" x14ac:dyDescent="0.2">
      <c r="A80" t="s">
        <v>55</v>
      </c>
      <c r="B80" s="148" t="str">
        <f>Sheet2!M39</f>
        <v>T2</v>
      </c>
    </row>
    <row r="81" spans="7:21" ht="20.100000000000001" customHeight="1" x14ac:dyDescent="0.2">
      <c r="G81" s="25"/>
      <c r="H81" s="25"/>
      <c r="I81" s="25"/>
      <c r="O81" s="27"/>
      <c r="P81" s="27"/>
      <c r="Q81" s="27"/>
      <c r="R81" s="27"/>
      <c r="S81" s="27"/>
      <c r="T81" s="27"/>
      <c r="U81" s="27"/>
    </row>
    <row r="82" spans="7:21" ht="20.100000000000001" customHeight="1" x14ac:dyDescent="0.2">
      <c r="G82" s="70"/>
      <c r="H82" s="70"/>
      <c r="I82" s="70"/>
      <c r="O82" s="27"/>
      <c r="P82" s="27"/>
      <c r="Q82" s="27"/>
      <c r="R82" s="27"/>
      <c r="S82" s="27"/>
      <c r="T82" s="27"/>
      <c r="U82" s="27"/>
    </row>
    <row r="83" spans="7:21" ht="20.100000000000001" customHeight="1" x14ac:dyDescent="0.2">
      <c r="O83" s="27"/>
      <c r="P83" s="27"/>
      <c r="Q83" s="27"/>
      <c r="R83" s="27"/>
      <c r="S83" s="27"/>
      <c r="T83" s="27"/>
      <c r="U83" s="27"/>
    </row>
    <row r="84" spans="7:21" ht="20.100000000000001" customHeight="1" x14ac:dyDescent="0.2">
      <c r="O84" s="27"/>
      <c r="P84" s="27"/>
      <c r="Q84" s="27"/>
      <c r="R84" s="27"/>
      <c r="S84" s="27"/>
      <c r="T84" s="27"/>
      <c r="U84" s="27"/>
    </row>
    <row r="85" spans="7:21" ht="20.100000000000001" customHeight="1" x14ac:dyDescent="0.2">
      <c r="O85" s="27"/>
      <c r="P85" s="27"/>
      <c r="Q85" s="27"/>
      <c r="R85" s="27"/>
      <c r="S85" s="27"/>
      <c r="T85" s="27"/>
      <c r="U85" s="27"/>
    </row>
    <row r="86" spans="7:21" ht="20.100000000000001" customHeight="1" x14ac:dyDescent="0.2">
      <c r="O86" s="27"/>
      <c r="P86" s="27"/>
      <c r="Q86" s="27"/>
      <c r="R86" s="27"/>
      <c r="S86" s="27"/>
      <c r="T86" s="27"/>
      <c r="U86" s="27"/>
    </row>
    <row r="87" spans="7:21" ht="20.100000000000001" customHeight="1" x14ac:dyDescent="0.2">
      <c r="O87" s="27"/>
      <c r="P87" s="27"/>
      <c r="Q87" s="27"/>
      <c r="R87" s="27"/>
      <c r="S87" s="27"/>
      <c r="T87" s="27"/>
      <c r="U87" s="27"/>
    </row>
    <row r="88" spans="7:21" ht="20.100000000000001" customHeight="1" x14ac:dyDescent="0.2">
      <c r="O88" s="27"/>
      <c r="P88" s="27"/>
      <c r="Q88" s="27"/>
      <c r="R88" s="27"/>
      <c r="S88" s="27"/>
      <c r="T88" s="27"/>
      <c r="U88" s="27"/>
    </row>
    <row r="89" spans="7:21" ht="20.100000000000001" customHeight="1" x14ac:dyDescent="0.2">
      <c r="O89" s="27"/>
      <c r="P89" s="27"/>
      <c r="Q89" s="27"/>
      <c r="R89" s="27"/>
      <c r="S89" s="27"/>
      <c r="T89" s="27"/>
      <c r="U89" s="27"/>
    </row>
    <row r="90" spans="7:21" ht="20.100000000000001" customHeight="1" x14ac:dyDescent="0.2">
      <c r="O90" s="27"/>
      <c r="P90" s="27"/>
      <c r="Q90" s="27"/>
      <c r="R90" s="27"/>
      <c r="S90" s="27"/>
      <c r="T90" s="27"/>
      <c r="U90" s="27"/>
    </row>
    <row r="91" spans="7:21" ht="20.100000000000001" customHeight="1" x14ac:dyDescent="0.2">
      <c r="O91" s="27"/>
      <c r="P91" s="27"/>
      <c r="Q91" s="27"/>
      <c r="R91" s="27"/>
      <c r="S91" s="27"/>
      <c r="T91" s="27"/>
      <c r="U91" s="27"/>
    </row>
    <row r="92" spans="7:21" ht="20.100000000000001" customHeight="1" x14ac:dyDescent="0.2">
      <c r="O92" s="27"/>
      <c r="P92" s="27"/>
      <c r="Q92" s="27"/>
      <c r="R92" s="27"/>
      <c r="S92" s="27"/>
      <c r="T92" s="27"/>
      <c r="U92" s="27"/>
    </row>
    <row r="93" spans="7:21" ht="20.100000000000001" customHeight="1" x14ac:dyDescent="0.2">
      <c r="O93" s="27"/>
      <c r="P93" s="27"/>
      <c r="Q93" s="27"/>
      <c r="R93" s="27"/>
      <c r="S93" s="27"/>
      <c r="T93" s="27"/>
      <c r="U93" s="27"/>
    </row>
    <row r="94" spans="7:21" ht="20.100000000000001" customHeight="1" x14ac:dyDescent="0.2">
      <c r="O94" s="27"/>
      <c r="P94" s="27"/>
      <c r="Q94" s="27"/>
      <c r="R94" s="27"/>
      <c r="S94" s="27"/>
      <c r="T94" s="27"/>
      <c r="U94" s="27"/>
    </row>
    <row r="95" spans="7:21" ht="20.100000000000001" customHeight="1" x14ac:dyDescent="0.2">
      <c r="O95" s="27"/>
      <c r="P95" s="27"/>
      <c r="Q95" s="27"/>
      <c r="R95" s="27"/>
      <c r="S95" s="27"/>
      <c r="T95" s="27"/>
      <c r="U95" s="27"/>
    </row>
    <row r="96" spans="7:21" ht="20.100000000000001" customHeight="1" x14ac:dyDescent="0.2">
      <c r="O96" s="27"/>
      <c r="P96" s="27"/>
      <c r="Q96" s="27"/>
      <c r="R96" s="27"/>
      <c r="S96" s="27"/>
      <c r="T96" s="27"/>
      <c r="U96" s="27"/>
    </row>
    <row r="97" spans="1:21" ht="20.100000000000001" customHeight="1" x14ac:dyDescent="0.2">
      <c r="O97" s="27"/>
      <c r="P97" s="27"/>
      <c r="Q97" s="27"/>
      <c r="R97" s="27"/>
      <c r="S97" s="27"/>
      <c r="T97" s="27"/>
      <c r="U97" s="27"/>
    </row>
    <row r="98" spans="1:21" ht="20.100000000000001" customHeight="1" x14ac:dyDescent="0.2">
      <c r="O98" s="27"/>
      <c r="P98" s="27"/>
      <c r="Q98" s="27"/>
      <c r="R98" s="27"/>
      <c r="S98" s="27"/>
      <c r="T98" s="27"/>
      <c r="U98" s="27"/>
    </row>
    <row r="99" spans="1:21" ht="20.100000000000001" customHeight="1" x14ac:dyDescent="0.2">
      <c r="O99" s="27"/>
      <c r="P99" s="27"/>
      <c r="Q99" s="27"/>
      <c r="R99" s="27"/>
      <c r="S99" s="27"/>
      <c r="T99" s="27"/>
      <c r="U99" s="27"/>
    </row>
    <row r="100" spans="1:21" ht="20.100000000000001" customHeight="1" x14ac:dyDescent="0.2">
      <c r="O100" s="27"/>
      <c r="P100" s="27"/>
      <c r="Q100" s="27"/>
      <c r="R100" s="27"/>
      <c r="S100" s="27"/>
      <c r="T100" s="27"/>
      <c r="U100" s="27"/>
    </row>
    <row r="101" spans="1:21" ht="20.100000000000001" customHeight="1" x14ac:dyDescent="0.2">
      <c r="O101" s="27"/>
      <c r="P101" s="27"/>
      <c r="Q101" s="27"/>
      <c r="R101" s="27"/>
      <c r="S101" s="27"/>
      <c r="T101" s="27"/>
      <c r="U101" s="27"/>
    </row>
    <row r="102" spans="1:21" ht="20.100000000000001" customHeight="1" x14ac:dyDescent="0.2">
      <c r="O102" s="27"/>
      <c r="P102" s="27"/>
      <c r="Q102" s="27"/>
      <c r="R102" s="27"/>
      <c r="S102" s="27"/>
      <c r="T102" s="27"/>
      <c r="U102" s="27"/>
    </row>
    <row r="103" spans="1:21" ht="20.100000000000001" customHeight="1" x14ac:dyDescent="0.2">
      <c r="O103" s="27"/>
      <c r="P103" s="27"/>
      <c r="Q103" s="27"/>
      <c r="R103" s="27"/>
      <c r="S103" s="27"/>
      <c r="T103" s="27"/>
      <c r="U103" s="27"/>
    </row>
    <row r="105" spans="1:21" ht="20.100000000000001" customHeight="1" x14ac:dyDescent="0.2">
      <c r="O105" s="28"/>
      <c r="S105" s="28"/>
    </row>
    <row r="108" spans="1:21" ht="20.100000000000001" customHeight="1" x14ac:dyDescent="0.2">
      <c r="O108" s="25"/>
      <c r="P108" s="25"/>
      <c r="Q108" s="25"/>
      <c r="R108" s="25"/>
      <c r="S108" s="25"/>
      <c r="T108" s="25"/>
      <c r="U108" s="25"/>
    </row>
    <row r="109" spans="1:21" ht="20.100000000000001" customHeight="1" x14ac:dyDescent="0.2">
      <c r="O109" s="25"/>
      <c r="P109" s="25"/>
      <c r="Q109" s="25"/>
      <c r="R109" s="25"/>
      <c r="S109" s="25"/>
      <c r="T109" s="25"/>
      <c r="U109" s="25"/>
    </row>
    <row r="110" spans="1:21" ht="20.100000000000001" customHeight="1" x14ac:dyDescent="0.25">
      <c r="A110" s="290" t="s">
        <v>124</v>
      </c>
      <c r="B110" s="290"/>
      <c r="C110" s="333" t="s">
        <v>55</v>
      </c>
      <c r="D110" s="333"/>
      <c r="E110" s="118" t="str">
        <f>Sheet2!J65</f>
        <v>T1</v>
      </c>
      <c r="F110" s="5"/>
      <c r="G110" s="5"/>
      <c r="H110" s="5"/>
      <c r="I110" s="118" t="str">
        <f>Sheet2!M65</f>
        <v>T2</v>
      </c>
      <c r="J110" s="5"/>
      <c r="K110" s="5"/>
      <c r="L110" s="5"/>
      <c r="O110" s="25"/>
      <c r="P110" s="25"/>
      <c r="Q110" s="25"/>
      <c r="R110" s="25"/>
      <c r="S110" s="25"/>
      <c r="T110" s="25"/>
      <c r="U110" s="25"/>
    </row>
    <row r="111" spans="1:21" ht="20.100000000000001" customHeight="1" x14ac:dyDescent="0.2">
      <c r="O111" s="25"/>
      <c r="P111" s="25"/>
      <c r="Q111" s="25"/>
      <c r="R111" s="25"/>
      <c r="S111" s="25"/>
      <c r="T111" s="25"/>
      <c r="U111" s="25"/>
    </row>
    <row r="112" spans="1:21" s="5" customFormat="1" ht="20.100000000000001" customHeight="1" x14ac:dyDescent="0.25">
      <c r="B112" s="334" t="s">
        <v>125</v>
      </c>
      <c r="C112" s="334"/>
      <c r="D112" s="334"/>
      <c r="E112" s="334"/>
      <c r="H112" s="334" t="s">
        <v>126</v>
      </c>
      <c r="I112" s="334"/>
      <c r="J112" s="334"/>
      <c r="K112" s="334"/>
      <c r="L112" s="334"/>
      <c r="O112" s="42"/>
      <c r="P112" s="71"/>
      <c r="Q112" s="71"/>
      <c r="R112" s="42"/>
      <c r="S112" s="42"/>
      <c r="T112" s="71"/>
      <c r="U112" s="71"/>
    </row>
    <row r="113" spans="15:21" s="5" customFormat="1" ht="20.100000000000001" customHeight="1" x14ac:dyDescent="0.25">
      <c r="O113" s="42"/>
      <c r="P113" s="72"/>
      <c r="Q113" s="72"/>
      <c r="R113" s="42"/>
      <c r="S113" s="42"/>
      <c r="T113" s="72"/>
      <c r="U113" s="72"/>
    </row>
    <row r="114" spans="15:21" s="5" customFormat="1" ht="20.100000000000001" customHeight="1" x14ac:dyDescent="0.25">
      <c r="O114" s="42"/>
      <c r="P114" s="73"/>
      <c r="Q114" s="73"/>
      <c r="R114" s="42"/>
      <c r="S114" s="42"/>
      <c r="T114" s="74"/>
      <c r="U114" s="73"/>
    </row>
    <row r="115" spans="15:21" s="5" customFormat="1" ht="20.100000000000001" customHeight="1" x14ac:dyDescent="0.25">
      <c r="O115" s="42"/>
      <c r="P115" s="72"/>
      <c r="Q115" s="72"/>
      <c r="R115" s="42"/>
      <c r="S115" s="42"/>
      <c r="T115" s="72"/>
      <c r="U115" s="72"/>
    </row>
    <row r="116" spans="15:21" s="5" customFormat="1" ht="20.100000000000001" customHeight="1" x14ac:dyDescent="0.25">
      <c r="O116" s="42"/>
      <c r="P116" s="72"/>
      <c r="Q116" s="72"/>
      <c r="R116" s="42"/>
      <c r="S116" s="42"/>
      <c r="T116" s="72"/>
      <c r="U116" s="72"/>
    </row>
    <row r="117" spans="15:21" s="5" customFormat="1" ht="20.100000000000001" customHeight="1" x14ac:dyDescent="0.25">
      <c r="O117" s="42"/>
      <c r="P117" s="72"/>
      <c r="Q117" s="72"/>
      <c r="R117" s="42"/>
      <c r="S117" s="42"/>
      <c r="T117" s="72"/>
      <c r="U117" s="72"/>
    </row>
    <row r="118" spans="15:21" s="5" customFormat="1" ht="20.100000000000001" customHeight="1" x14ac:dyDescent="0.25">
      <c r="O118" s="42"/>
      <c r="P118" s="72"/>
      <c r="Q118" s="72"/>
      <c r="R118" s="42"/>
      <c r="S118" s="42"/>
      <c r="T118" s="72"/>
      <c r="U118" s="72"/>
    </row>
    <row r="119" spans="15:21" s="5" customFormat="1" ht="20.100000000000001" customHeight="1" x14ac:dyDescent="0.25">
      <c r="O119" s="42"/>
      <c r="P119" s="72"/>
      <c r="Q119" s="72"/>
      <c r="R119" s="42"/>
      <c r="S119" s="42"/>
      <c r="T119" s="72"/>
      <c r="U119" s="72"/>
    </row>
    <row r="120" spans="15:21" s="5" customFormat="1" ht="20.100000000000001" customHeight="1" x14ac:dyDescent="0.25">
      <c r="O120" s="42"/>
      <c r="P120" s="72"/>
      <c r="Q120" s="72"/>
      <c r="R120" s="42"/>
      <c r="S120" s="42"/>
      <c r="T120" s="72"/>
      <c r="U120" s="72"/>
    </row>
    <row r="121" spans="15:21" s="5" customFormat="1" ht="20.100000000000001" customHeight="1" x14ac:dyDescent="0.25">
      <c r="P121" s="30"/>
      <c r="Q121" s="30"/>
      <c r="T121" s="30"/>
      <c r="U121" s="30"/>
    </row>
    <row r="122" spans="15:21" s="5" customFormat="1" ht="20.100000000000001" customHeight="1" x14ac:dyDescent="0.25">
      <c r="P122" s="30"/>
      <c r="Q122" s="30"/>
      <c r="T122" s="30"/>
      <c r="U122" s="30"/>
    </row>
    <row r="123" spans="15:21" s="5" customFormat="1" ht="20.100000000000001" customHeight="1" x14ac:dyDescent="0.25">
      <c r="P123" s="30"/>
      <c r="Q123" s="30"/>
      <c r="T123" s="30"/>
      <c r="U123" s="30"/>
    </row>
    <row r="124" spans="15:21" s="5" customFormat="1" ht="20.100000000000001" customHeight="1" x14ac:dyDescent="0.25">
      <c r="P124" s="30"/>
      <c r="Q124" s="30"/>
      <c r="T124" s="30"/>
      <c r="U124" s="30"/>
    </row>
    <row r="125" spans="15:21" s="5" customFormat="1" ht="20.100000000000001" customHeight="1" x14ac:dyDescent="0.25">
      <c r="P125" s="30"/>
      <c r="Q125" s="30"/>
      <c r="T125" s="30"/>
      <c r="U125" s="30"/>
    </row>
    <row r="126" spans="15:21" s="5" customFormat="1" ht="20.100000000000001" customHeight="1" x14ac:dyDescent="0.25">
      <c r="P126" s="30"/>
      <c r="Q126" s="30"/>
      <c r="T126" s="30"/>
      <c r="U126" s="30"/>
    </row>
    <row r="127" spans="15:21" s="5" customFormat="1" ht="20.100000000000001" customHeight="1" x14ac:dyDescent="0.25">
      <c r="P127" s="30"/>
      <c r="Q127" s="30"/>
      <c r="T127" s="30"/>
      <c r="U127" s="30"/>
    </row>
    <row r="128" spans="15:21" s="5" customFormat="1" ht="20.100000000000001" customHeight="1" x14ac:dyDescent="0.25">
      <c r="P128" s="30"/>
      <c r="Q128" s="30"/>
      <c r="T128" s="30"/>
      <c r="U128" s="30"/>
    </row>
    <row r="129" spans="1:23" s="5" customFormat="1" ht="20.100000000000001" customHeight="1" x14ac:dyDescent="0.25">
      <c r="P129" s="30"/>
      <c r="Q129" s="30"/>
      <c r="T129" s="30"/>
      <c r="U129" s="30"/>
    </row>
    <row r="130" spans="1:23" s="5" customFormat="1" ht="20.100000000000001" customHeight="1" x14ac:dyDescent="0.25">
      <c r="P130" s="30"/>
      <c r="Q130" s="30"/>
      <c r="T130" s="30"/>
      <c r="U130" s="30"/>
    </row>
    <row r="131" spans="1:23" s="5" customFormat="1" ht="20.100000000000001" customHeight="1" x14ac:dyDescent="0.25">
      <c r="P131" s="30"/>
      <c r="Q131" s="30"/>
      <c r="T131" s="30"/>
      <c r="U131" s="30"/>
    </row>
    <row r="132" spans="1:23" s="5" customFormat="1" ht="20.100000000000001" customHeight="1" x14ac:dyDescent="0.25">
      <c r="P132" s="30"/>
      <c r="Q132" s="30"/>
      <c r="T132" s="30"/>
      <c r="U132" s="30"/>
    </row>
    <row r="133" spans="1:23" s="5" customFormat="1" ht="20.100000000000001" customHeight="1" x14ac:dyDescent="0.25">
      <c r="P133" s="30"/>
      <c r="Q133" s="30"/>
      <c r="T133" s="30"/>
      <c r="U133" s="30"/>
    </row>
    <row r="134" spans="1:23" s="5" customFormat="1" ht="20.100000000000001" customHeight="1" x14ac:dyDescent="0.25">
      <c r="P134" s="30"/>
      <c r="Q134" s="30"/>
      <c r="T134" s="30"/>
      <c r="U134" s="30"/>
    </row>
    <row r="135" spans="1:23" s="5" customFormat="1" ht="20.100000000000001" customHeight="1" x14ac:dyDescent="0.25">
      <c r="P135" s="30"/>
      <c r="Q135" s="30"/>
      <c r="T135" s="30"/>
      <c r="U135" s="30"/>
    </row>
    <row r="136" spans="1:23" ht="20.100000000000001" customHeight="1" x14ac:dyDescent="0.25">
      <c r="A136" s="290" t="s">
        <v>127</v>
      </c>
      <c r="B136" s="290"/>
      <c r="C136" s="290"/>
      <c r="D136" s="290"/>
      <c r="E136" s="345"/>
      <c r="F136" s="345"/>
      <c r="G136" s="345"/>
      <c r="O136" s="36"/>
      <c r="P136" s="75"/>
      <c r="Q136" s="332"/>
      <c r="R136" s="332"/>
      <c r="S136" s="42"/>
      <c r="T136" s="36"/>
      <c r="U136" s="75"/>
      <c r="V136" s="332"/>
      <c r="W136" s="332"/>
    </row>
    <row r="137" spans="1:23" s="5" customFormat="1" ht="20.100000000000001" customHeight="1" x14ac:dyDescent="0.25">
      <c r="P137" s="30"/>
      <c r="Q137" s="30"/>
      <c r="T137" s="30"/>
      <c r="U137" s="30"/>
    </row>
    <row r="138" spans="1:23" s="5" customFormat="1" ht="20.100000000000001" customHeight="1" x14ac:dyDescent="0.3">
      <c r="F138" s="280" t="str">
        <f>INDEX(Sheet2!K95:'Sheet2'!K98,Sheet2!J93)</f>
        <v>Phóng hồ quang điện</v>
      </c>
      <c r="G138" s="281"/>
      <c r="H138" s="281"/>
      <c r="I138" s="281"/>
      <c r="J138" s="282"/>
      <c r="P138" s="30"/>
      <c r="Q138" s="30"/>
      <c r="T138" s="30"/>
      <c r="U138" s="30"/>
    </row>
    <row r="139" spans="1:23" s="5" customFormat="1" ht="20.100000000000001" customHeight="1" x14ac:dyDescent="0.25">
      <c r="A139" s="5" t="s">
        <v>132</v>
      </c>
      <c r="P139" s="30"/>
      <c r="Q139" s="30"/>
      <c r="T139" s="30"/>
      <c r="U139" s="30"/>
    </row>
    <row r="140" spans="1:23" s="5" customFormat="1" ht="20.100000000000001" customHeight="1" x14ac:dyDescent="0.25">
      <c r="P140" s="30"/>
      <c r="Q140" s="30"/>
      <c r="T140" s="30"/>
      <c r="U140" s="30"/>
    </row>
    <row r="141" spans="1:23" s="5" customFormat="1" ht="20.100000000000001" customHeight="1" x14ac:dyDescent="0.25">
      <c r="P141" s="30"/>
      <c r="Q141" s="30"/>
      <c r="T141" s="30"/>
      <c r="U141" s="30"/>
    </row>
    <row r="142" spans="1:23" s="5" customFormat="1" ht="20.100000000000001" customHeight="1" x14ac:dyDescent="0.25">
      <c r="B142" s="201"/>
      <c r="C142" s="201"/>
      <c r="D142" s="201"/>
      <c r="P142" s="30"/>
      <c r="Q142" s="30"/>
      <c r="T142" s="30"/>
      <c r="U142" s="30"/>
    </row>
    <row r="143" spans="1:23" s="5" customFormat="1" ht="20.100000000000001" customHeight="1" x14ac:dyDescent="0.25">
      <c r="B143" s="201"/>
      <c r="C143" s="201"/>
      <c r="D143" s="201"/>
      <c r="P143" s="30"/>
      <c r="Q143" s="30"/>
    </row>
    <row r="144" spans="1:23" s="5" customFormat="1" ht="20.100000000000001" customHeight="1" x14ac:dyDescent="0.25">
      <c r="B144" s="201"/>
      <c r="C144" s="201"/>
      <c r="D144" s="201"/>
      <c r="P144" s="30"/>
      <c r="Q144" s="30"/>
    </row>
    <row r="145" spans="1:17" s="5" customFormat="1" ht="20.100000000000001" customHeight="1" x14ac:dyDescent="0.25">
      <c r="B145" s="201"/>
      <c r="C145" s="201"/>
      <c r="D145" s="201"/>
      <c r="P145" s="30"/>
      <c r="Q145" s="30"/>
    </row>
    <row r="146" spans="1:17" s="5" customFormat="1" ht="20.100000000000001" customHeight="1" x14ac:dyDescent="0.25">
      <c r="B146" s="201"/>
      <c r="C146" s="201"/>
      <c r="D146" s="201"/>
      <c r="P146" s="30"/>
      <c r="Q146" s="30"/>
    </row>
    <row r="147" spans="1:17" ht="20.100000000000001" customHeight="1" x14ac:dyDescent="0.2">
      <c r="B147" s="202"/>
      <c r="C147" s="202"/>
      <c r="D147" s="202"/>
    </row>
    <row r="156" spans="1:17" ht="20.100000000000001" customHeight="1" x14ac:dyDescent="0.2">
      <c r="A156" s="337" t="s">
        <v>133</v>
      </c>
      <c r="B156" s="337"/>
      <c r="C156" s="337"/>
      <c r="D156" s="337"/>
    </row>
    <row r="157" spans="1:17" ht="20.100000000000001" customHeight="1" x14ac:dyDescent="0.2">
      <c r="E157" s="338" t="str">
        <f>Sheet2!C104</f>
        <v>Phân hủy nhiệt ở nhiệt độ 300&lt;T&lt;700 (T2)</v>
      </c>
      <c r="F157" s="339"/>
      <c r="G157" s="339"/>
      <c r="H157" s="339"/>
      <c r="I157" s="339"/>
      <c r="J157" s="339"/>
      <c r="K157" s="340"/>
    </row>
    <row r="158" spans="1:17" ht="20.100000000000001" customHeight="1" x14ac:dyDescent="0.2">
      <c r="E158" s="341"/>
      <c r="F158" s="342"/>
      <c r="G158" s="342"/>
      <c r="H158" s="342"/>
      <c r="I158" s="342"/>
      <c r="J158" s="342"/>
      <c r="K158" s="343"/>
    </row>
    <row r="160" spans="1:17" ht="20.100000000000001" customHeight="1" x14ac:dyDescent="0.2">
      <c r="A160" s="202"/>
      <c r="B160" s="202"/>
    </row>
    <row r="161" spans="1:2" ht="20.100000000000001" customHeight="1" x14ac:dyDescent="0.2">
      <c r="A161" s="202"/>
      <c r="B161" s="202"/>
    </row>
    <row r="162" spans="1:2" ht="20.100000000000001" customHeight="1" x14ac:dyDescent="0.2">
      <c r="A162" s="202"/>
      <c r="B162" s="202"/>
    </row>
    <row r="163" spans="1:2" ht="20.100000000000001" customHeight="1" x14ac:dyDescent="0.2">
      <c r="A163" s="202"/>
      <c r="B163" s="202"/>
    </row>
    <row r="164" spans="1:2" ht="20.100000000000001" customHeight="1" x14ac:dyDescent="0.2">
      <c r="A164" s="202"/>
      <c r="B164" s="202"/>
    </row>
    <row r="165" spans="1:2" ht="20.100000000000001" customHeight="1" x14ac:dyDescent="0.2">
      <c r="A165" s="202"/>
      <c r="B165" s="202"/>
    </row>
    <row r="166" spans="1:2" ht="20.100000000000001" customHeight="1" x14ac:dyDescent="0.2">
      <c r="A166" s="202"/>
      <c r="B166" s="202"/>
    </row>
    <row r="167" spans="1:2" ht="20.100000000000001" customHeight="1" x14ac:dyDescent="0.2">
      <c r="A167" s="202"/>
      <c r="B167" s="202"/>
    </row>
    <row r="168" spans="1:2" ht="20.100000000000001" customHeight="1" x14ac:dyDescent="0.2">
      <c r="A168" s="202"/>
      <c r="B168" s="202"/>
    </row>
    <row r="169" spans="1:2" ht="20.100000000000001" customHeight="1" x14ac:dyDescent="0.2">
      <c r="A169" s="202"/>
      <c r="B169" s="202"/>
    </row>
    <row r="170" spans="1:2" ht="20.100000000000001" customHeight="1" x14ac:dyDescent="0.2">
      <c r="A170" s="202"/>
      <c r="B170" s="202"/>
    </row>
    <row r="171" spans="1:2" ht="20.100000000000001" customHeight="1" x14ac:dyDescent="0.2">
      <c r="A171" s="202"/>
      <c r="B171" s="202"/>
    </row>
    <row r="181" spans="1:12" ht="20.100000000000001" customHeight="1" x14ac:dyDescent="0.3">
      <c r="A181" s="344" t="s">
        <v>152</v>
      </c>
      <c r="B181" s="344"/>
      <c r="C181" s="344"/>
      <c r="D181" s="344"/>
      <c r="E181" s="344"/>
    </row>
    <row r="182" spans="1:12" ht="20.100000000000001" customHeight="1" x14ac:dyDescent="0.2">
      <c r="H182" s="107" t="s">
        <v>161</v>
      </c>
      <c r="I182" s="107" t="s">
        <v>162</v>
      </c>
      <c r="J182" s="107" t="s">
        <v>163</v>
      </c>
      <c r="K182" s="107" t="s">
        <v>164</v>
      </c>
      <c r="L182" s="107" t="s">
        <v>165</v>
      </c>
    </row>
    <row r="183" spans="1:12" ht="20.100000000000001" customHeight="1" x14ac:dyDescent="0.3">
      <c r="A183" s="283" t="s">
        <v>19</v>
      </c>
      <c r="B183" s="284"/>
      <c r="C183" s="284"/>
      <c r="D183" s="284"/>
      <c r="E183" s="284"/>
      <c r="F183" s="284"/>
      <c r="G183" s="284"/>
      <c r="H183" s="19" t="s">
        <v>166</v>
      </c>
      <c r="I183" s="19" t="s">
        <v>166</v>
      </c>
      <c r="J183" s="19"/>
      <c r="K183" s="19"/>
      <c r="L183" s="19" t="s">
        <v>166</v>
      </c>
    </row>
    <row r="184" spans="1:12" ht="20.100000000000001" customHeight="1" x14ac:dyDescent="0.3">
      <c r="A184" s="283" t="s">
        <v>20</v>
      </c>
      <c r="B184" s="284"/>
      <c r="C184" s="284"/>
      <c r="D184" s="284"/>
      <c r="E184" s="284"/>
      <c r="F184" s="284"/>
      <c r="G184" s="284"/>
      <c r="H184" s="19" t="s">
        <v>166</v>
      </c>
      <c r="I184" s="19" t="s">
        <v>166</v>
      </c>
      <c r="J184" s="19"/>
      <c r="K184" s="19"/>
      <c r="L184" s="19" t="s">
        <v>166</v>
      </c>
    </row>
    <row r="185" spans="1:12" ht="20.100000000000001" customHeight="1" x14ac:dyDescent="0.3">
      <c r="A185" s="101" t="s">
        <v>21</v>
      </c>
      <c r="B185" s="102"/>
      <c r="C185" s="102"/>
      <c r="D185" s="102"/>
      <c r="E185" s="102"/>
      <c r="F185" s="103"/>
      <c r="G185" s="106"/>
      <c r="H185" s="19" t="s">
        <v>166</v>
      </c>
      <c r="I185" s="19" t="s">
        <v>166</v>
      </c>
      <c r="J185" s="19" t="s">
        <v>166</v>
      </c>
      <c r="K185" s="19" t="s">
        <v>166</v>
      </c>
      <c r="L185" s="19"/>
    </row>
    <row r="186" spans="1:12" ht="20.100000000000001" customHeight="1" x14ac:dyDescent="0.3">
      <c r="A186" s="283" t="s">
        <v>22</v>
      </c>
      <c r="B186" s="284"/>
      <c r="C186" s="284"/>
      <c r="D186" s="284"/>
      <c r="E186" s="284"/>
      <c r="F186" s="284"/>
      <c r="G186" s="284"/>
      <c r="H186" s="19" t="s">
        <v>166</v>
      </c>
      <c r="I186" s="19" t="s">
        <v>166</v>
      </c>
      <c r="J186" s="19"/>
      <c r="K186" s="19"/>
      <c r="L186" s="19" t="s">
        <v>166</v>
      </c>
    </row>
    <row r="188" spans="1:12" ht="20.100000000000001" customHeight="1" x14ac:dyDescent="0.3">
      <c r="A188" s="279" t="s">
        <v>154</v>
      </c>
      <c r="B188" s="279"/>
      <c r="C188" s="279"/>
      <c r="D188" s="279" t="s">
        <v>155</v>
      </c>
      <c r="E188" s="279"/>
    </row>
    <row r="189" spans="1:12" ht="20.100000000000001" customHeight="1" x14ac:dyDescent="0.3">
      <c r="A189" s="271" t="s">
        <v>160</v>
      </c>
      <c r="B189" s="271"/>
      <c r="C189" s="271"/>
      <c r="D189" s="270">
        <f>B10/A10</f>
        <v>7.8787878787878789</v>
      </c>
      <c r="E189" s="270"/>
    </row>
    <row r="190" spans="1:12" ht="20.100000000000001" customHeight="1" x14ac:dyDescent="0.3">
      <c r="A190" s="271" t="s">
        <v>156</v>
      </c>
      <c r="B190" s="271"/>
      <c r="C190" s="271"/>
      <c r="D190" s="270">
        <f>E10/C10</f>
        <v>0</v>
      </c>
      <c r="E190" s="270"/>
    </row>
    <row r="191" spans="1:12" ht="20.100000000000001" customHeight="1" x14ac:dyDescent="0.3">
      <c r="A191" s="271" t="s">
        <v>157</v>
      </c>
      <c r="B191" s="271"/>
      <c r="C191" s="271"/>
      <c r="D191" s="270">
        <f>E10/B10</f>
        <v>0</v>
      </c>
      <c r="E191" s="270"/>
    </row>
    <row r="192" spans="1:12" ht="20.100000000000001" customHeight="1" x14ac:dyDescent="0.3">
      <c r="A192" s="271" t="s">
        <v>158</v>
      </c>
      <c r="B192" s="271"/>
      <c r="C192" s="271"/>
      <c r="D192" s="270" t="e">
        <f>D10/E10</f>
        <v>#DIV/0!</v>
      </c>
      <c r="E192" s="270"/>
    </row>
    <row r="193" spans="1:17" ht="20.100000000000001" customHeight="1" x14ac:dyDescent="0.3">
      <c r="A193" s="271" t="s">
        <v>159</v>
      </c>
      <c r="B193" s="271"/>
      <c r="C193" s="271"/>
      <c r="D193" s="270">
        <f>C10/D10</f>
        <v>2.9513108614232211</v>
      </c>
      <c r="E193" s="270"/>
    </row>
    <row r="194" spans="1:17" ht="20.100000000000001" customHeight="1" x14ac:dyDescent="0.2">
      <c r="P194" s="255" t="s">
        <v>44</v>
      </c>
      <c r="Q194" s="256"/>
    </row>
    <row r="195" spans="1:17" ht="38.25" customHeight="1" x14ac:dyDescent="0.25">
      <c r="A195" s="259" t="s">
        <v>300</v>
      </c>
      <c r="B195" s="260"/>
      <c r="C195" s="260"/>
      <c r="D195" s="260"/>
      <c r="E195" s="260"/>
      <c r="F195" s="261"/>
      <c r="G195" s="165"/>
      <c r="H195" s="165"/>
      <c r="M195" s="92"/>
      <c r="N195" s="159" t="s">
        <v>303</v>
      </c>
      <c r="O195" s="159" t="s">
        <v>304</v>
      </c>
      <c r="P195" s="160" t="s">
        <v>305</v>
      </c>
      <c r="Q195" s="161" t="s">
        <v>306</v>
      </c>
    </row>
    <row r="196" spans="1:17" ht="20.100000000000001" customHeight="1" x14ac:dyDescent="0.25">
      <c r="A196" s="157" t="s">
        <v>301</v>
      </c>
      <c r="I196" s="267" t="str">
        <f>Sheet2!I213</f>
        <v>C</v>
      </c>
      <c r="M196" s="159" t="s">
        <v>302</v>
      </c>
      <c r="N196" s="92">
        <f>N197+N198+N199</f>
        <v>1146</v>
      </c>
      <c r="O196" s="158"/>
      <c r="P196" s="156">
        <f>O198+O197/2</f>
        <v>0.72382198952879584</v>
      </c>
      <c r="Q196" s="156">
        <f>O197*0.866025</f>
        <v>7.4813678010471202E-2</v>
      </c>
    </row>
    <row r="197" spans="1:17" ht="20.100000000000001" customHeight="1" x14ac:dyDescent="0.25">
      <c r="I197" s="268"/>
      <c r="M197" s="159" t="s">
        <v>2</v>
      </c>
      <c r="N197" s="92">
        <f>A10</f>
        <v>99</v>
      </c>
      <c r="O197" s="158">
        <f>N197/N196</f>
        <v>8.6387434554973816E-2</v>
      </c>
    </row>
    <row r="198" spans="1:17" ht="20.100000000000001" customHeight="1" x14ac:dyDescent="0.25">
      <c r="M198" s="159" t="s">
        <v>3</v>
      </c>
      <c r="N198" s="92">
        <f>B10</f>
        <v>780</v>
      </c>
      <c r="O198" s="158">
        <f>N198/N196</f>
        <v>0.68062827225130895</v>
      </c>
    </row>
    <row r="199" spans="1:17" ht="20.100000000000001" customHeight="1" x14ac:dyDescent="0.25">
      <c r="M199" s="159" t="s">
        <v>5</v>
      </c>
      <c r="N199" s="92">
        <f>D10</f>
        <v>267</v>
      </c>
      <c r="O199" s="158">
        <f>N199/N196</f>
        <v>0.23298429319371727</v>
      </c>
    </row>
    <row r="201" spans="1:17" ht="20.100000000000001" customHeight="1" x14ac:dyDescent="0.25">
      <c r="M201" s="166" t="s">
        <v>32</v>
      </c>
      <c r="N201" s="262" t="s">
        <v>33</v>
      </c>
      <c r="O201" s="262"/>
      <c r="P201" s="262"/>
      <c r="Q201" s="262"/>
    </row>
    <row r="202" spans="1:17" ht="20.100000000000001" customHeight="1" x14ac:dyDescent="0.25">
      <c r="M202" s="166" t="s">
        <v>280</v>
      </c>
      <c r="N202" s="262" t="s">
        <v>307</v>
      </c>
      <c r="O202" s="262"/>
      <c r="P202" s="262"/>
      <c r="Q202" s="262"/>
    </row>
    <row r="203" spans="1:17" ht="20.100000000000001" customHeight="1" x14ac:dyDescent="0.25">
      <c r="M203" s="166" t="s">
        <v>293</v>
      </c>
      <c r="N203" s="262" t="s">
        <v>308</v>
      </c>
      <c r="O203" s="262"/>
      <c r="P203" s="262"/>
      <c r="Q203" s="262"/>
    </row>
    <row r="204" spans="1:17" ht="20.100000000000001" customHeight="1" x14ac:dyDescent="0.25">
      <c r="M204" s="166" t="s">
        <v>271</v>
      </c>
      <c r="N204" s="269" t="s">
        <v>309</v>
      </c>
      <c r="O204" s="262"/>
      <c r="P204" s="262"/>
      <c r="Q204" s="262"/>
    </row>
    <row r="205" spans="1:17" ht="20.100000000000001" customHeight="1" x14ac:dyDescent="0.25">
      <c r="M205" s="166" t="s">
        <v>276</v>
      </c>
      <c r="N205" s="257" t="s">
        <v>310</v>
      </c>
      <c r="O205" s="258"/>
      <c r="P205" s="258"/>
      <c r="Q205" s="258"/>
    </row>
    <row r="222" spans="1:16" ht="37.5" customHeight="1" x14ac:dyDescent="0.2">
      <c r="A222" s="263" t="s">
        <v>311</v>
      </c>
      <c r="B222" s="264"/>
      <c r="C222" s="264"/>
      <c r="D222" s="264"/>
      <c r="E222" s="264"/>
      <c r="F222" s="264"/>
      <c r="G222" s="265"/>
      <c r="H222" s="266"/>
    </row>
    <row r="223" spans="1:16" ht="20.100000000000001" customHeight="1" x14ac:dyDescent="0.2">
      <c r="O223" s="255" t="s">
        <v>44</v>
      </c>
      <c r="P223" s="256"/>
    </row>
    <row r="224" spans="1:16" ht="20.100000000000001" customHeight="1" x14ac:dyDescent="0.25">
      <c r="J224" s="244" t="str">
        <f>Sheet2!I270</f>
        <v>C</v>
      </c>
      <c r="L224" s="92"/>
      <c r="M224" s="159" t="s">
        <v>303</v>
      </c>
      <c r="N224" s="159" t="s">
        <v>304</v>
      </c>
      <c r="O224" s="160" t="s">
        <v>305</v>
      </c>
      <c r="P224" s="161" t="s">
        <v>306</v>
      </c>
    </row>
    <row r="225" spans="10:16" ht="20.100000000000001" customHeight="1" x14ac:dyDescent="0.25">
      <c r="J225" s="245"/>
      <c r="L225" s="159" t="s">
        <v>302</v>
      </c>
      <c r="M225" s="92">
        <f>M226+M227+M228</f>
        <v>1835</v>
      </c>
      <c r="N225" s="158"/>
      <c r="O225" s="170">
        <f>N227+N226/2</f>
        <v>0.64196185286103546</v>
      </c>
      <c r="P225" s="170">
        <f>N226*0.866025</f>
        <v>0.36811961852861036</v>
      </c>
    </row>
    <row r="226" spans="10:16" ht="20.100000000000001" customHeight="1" x14ac:dyDescent="0.25">
      <c r="L226" s="159" t="s">
        <v>3</v>
      </c>
      <c r="M226" s="92">
        <f>B10</f>
        <v>780</v>
      </c>
      <c r="N226" s="158">
        <f>M226/M225</f>
        <v>0.42506811989100818</v>
      </c>
    </row>
    <row r="227" spans="10:16" ht="20.100000000000001" customHeight="1" x14ac:dyDescent="0.25">
      <c r="L227" s="159" t="s">
        <v>4</v>
      </c>
      <c r="M227" s="92">
        <f>C10</f>
        <v>788</v>
      </c>
      <c r="N227" s="158">
        <f>M227/M225</f>
        <v>0.42942779291553135</v>
      </c>
    </row>
    <row r="228" spans="10:16" ht="20.100000000000001" customHeight="1" x14ac:dyDescent="0.25">
      <c r="L228" s="159" t="s">
        <v>5</v>
      </c>
      <c r="M228" s="92">
        <f>D10</f>
        <v>267</v>
      </c>
      <c r="N228" s="158">
        <f>M228/M225</f>
        <v>0.1455040871934605</v>
      </c>
    </row>
    <row r="230" spans="10:16" ht="20.100000000000001" customHeight="1" x14ac:dyDescent="0.25">
      <c r="L230" s="166" t="s">
        <v>32</v>
      </c>
      <c r="M230" s="262" t="s">
        <v>33</v>
      </c>
      <c r="N230" s="262"/>
      <c r="O230" s="262"/>
      <c r="P230" s="262"/>
    </row>
    <row r="231" spans="10:16" ht="20.100000000000001" customHeight="1" x14ac:dyDescent="0.25">
      <c r="L231" s="166" t="s">
        <v>280</v>
      </c>
      <c r="M231" s="262" t="s">
        <v>307</v>
      </c>
      <c r="N231" s="262"/>
      <c r="O231" s="262"/>
      <c r="P231" s="262"/>
    </row>
    <row r="232" spans="10:16" ht="20.100000000000001" customHeight="1" x14ac:dyDescent="0.25">
      <c r="L232" s="166" t="s">
        <v>293</v>
      </c>
      <c r="M232" s="262" t="s">
        <v>308</v>
      </c>
      <c r="N232" s="262"/>
      <c r="O232" s="262"/>
      <c r="P232" s="262"/>
    </row>
    <row r="233" spans="10:16" ht="20.100000000000001" customHeight="1" x14ac:dyDescent="0.25">
      <c r="L233" s="166" t="s">
        <v>271</v>
      </c>
      <c r="M233" s="269" t="s">
        <v>309</v>
      </c>
      <c r="N233" s="262"/>
      <c r="O233" s="262"/>
      <c r="P233" s="262"/>
    </row>
    <row r="234" spans="10:16" ht="20.100000000000001" customHeight="1" x14ac:dyDescent="0.25">
      <c r="L234" s="173" t="s">
        <v>276</v>
      </c>
      <c r="M234" s="257" t="s">
        <v>310</v>
      </c>
      <c r="N234" s="258"/>
      <c r="O234" s="258"/>
      <c r="P234" s="258"/>
    </row>
    <row r="235" spans="10:16" ht="20.100000000000001" customHeight="1" x14ac:dyDescent="0.25">
      <c r="L235" s="166" t="s">
        <v>36</v>
      </c>
      <c r="M235" s="241" t="s">
        <v>336</v>
      </c>
      <c r="N235" s="242"/>
      <c r="O235" s="242"/>
      <c r="P235" s="243"/>
    </row>
    <row r="236" spans="10:16" ht="20.100000000000001" customHeight="1" x14ac:dyDescent="0.25">
      <c r="L236" s="166" t="s">
        <v>34</v>
      </c>
      <c r="M236" s="241" t="s">
        <v>337</v>
      </c>
      <c r="N236" s="242"/>
      <c r="O236" s="242"/>
      <c r="P236" s="243"/>
    </row>
    <row r="237" spans="10:16" ht="20.100000000000001" customHeight="1" x14ac:dyDescent="0.25">
      <c r="L237" s="166" t="s">
        <v>404</v>
      </c>
      <c r="M237" s="238" t="s">
        <v>409</v>
      </c>
      <c r="N237" s="238"/>
      <c r="O237" s="238"/>
      <c r="P237" s="238"/>
    </row>
    <row r="249" spans="1:14" ht="20.100000000000001" customHeight="1" x14ac:dyDescent="0.3">
      <c r="A249" s="239" t="s">
        <v>375</v>
      </c>
      <c r="B249" s="240"/>
      <c r="C249" s="240"/>
      <c r="D249" s="240"/>
      <c r="F249" s="162" t="str">
        <f>Sheet2!G337</f>
        <v>T2</v>
      </c>
      <c r="N249" s="162" t="str">
        <f>Sheet2!I337</f>
        <v>C</v>
      </c>
    </row>
  </sheetData>
  <sheetProtection password="DDCC" sheet="1"/>
  <protectedRanges>
    <protectedRange sqref="F249 N249" name="Range3"/>
    <protectedRange sqref="C3:C6 A36" name="Range1"/>
    <protectedRange sqref="A10:G10" name="Range2"/>
  </protectedRanges>
  <mergeCells count="150">
    <mergeCell ref="M8:R8"/>
    <mergeCell ref="N10:O10"/>
    <mergeCell ref="N11:O11"/>
    <mergeCell ref="N12:O12"/>
    <mergeCell ref="M9:R9"/>
    <mergeCell ref="O28:R28"/>
    <mergeCell ref="O27:R27"/>
    <mergeCell ref="O29:R29"/>
    <mergeCell ref="O30:R30"/>
    <mergeCell ref="O31:R31"/>
    <mergeCell ref="O32:R32"/>
    <mergeCell ref="O33:R33"/>
    <mergeCell ref="O22:R22"/>
    <mergeCell ref="O23:R23"/>
    <mergeCell ref="O24:R24"/>
    <mergeCell ref="O25:R25"/>
    <mergeCell ref="O26:R26"/>
    <mergeCell ref="T28:W28"/>
    <mergeCell ref="T29:W29"/>
    <mergeCell ref="T30:W30"/>
    <mergeCell ref="T31:W31"/>
    <mergeCell ref="T32:W32"/>
    <mergeCell ref="T33:W33"/>
    <mergeCell ref="T22:W22"/>
    <mergeCell ref="T23:W23"/>
    <mergeCell ref="T24:W24"/>
    <mergeCell ref="T25:W25"/>
    <mergeCell ref="T26:W26"/>
    <mergeCell ref="T27:W27"/>
    <mergeCell ref="E136:G136"/>
    <mergeCell ref="C72:I72"/>
    <mergeCell ref="A38:L38"/>
    <mergeCell ref="A40:C40"/>
    <mergeCell ref="A42:D42"/>
    <mergeCell ref="E42:G42"/>
    <mergeCell ref="C74:I74"/>
    <mergeCell ref="C75:I75"/>
    <mergeCell ref="A78:E78"/>
    <mergeCell ref="G78:H78"/>
    <mergeCell ref="Q136:R136"/>
    <mergeCell ref="A26:F26"/>
    <mergeCell ref="G26:I26"/>
    <mergeCell ref="A191:C191"/>
    <mergeCell ref="A156:D156"/>
    <mergeCell ref="E157:K158"/>
    <mergeCell ref="A181:E181"/>
    <mergeCell ref="A183:G183"/>
    <mergeCell ref="A184:G184"/>
    <mergeCell ref="D191:E191"/>
    <mergeCell ref="V136:W136"/>
    <mergeCell ref="A110:B110"/>
    <mergeCell ref="C110:D110"/>
    <mergeCell ref="B112:E112"/>
    <mergeCell ref="H112:L112"/>
    <mergeCell ref="A3:B3"/>
    <mergeCell ref="C3:G3"/>
    <mergeCell ref="A4:B4"/>
    <mergeCell ref="C4:G4"/>
    <mergeCell ref="A5:B5"/>
    <mergeCell ref="C5:G5"/>
    <mergeCell ref="A6:B6"/>
    <mergeCell ref="C6:G6"/>
    <mergeCell ref="A8:K8"/>
    <mergeCell ref="I9:K9"/>
    <mergeCell ref="I10:K10"/>
    <mergeCell ref="A11:K11"/>
    <mergeCell ref="A12:K12"/>
    <mergeCell ref="A13:K13"/>
    <mergeCell ref="H14:K14"/>
    <mergeCell ref="H15:K15"/>
    <mergeCell ref="H16:K16"/>
    <mergeCell ref="H17:K17"/>
    <mergeCell ref="A18:A19"/>
    <mergeCell ref="B18:B19"/>
    <mergeCell ref="C18:C19"/>
    <mergeCell ref="D18:D19"/>
    <mergeCell ref="E18:E19"/>
    <mergeCell ref="H18:K19"/>
    <mergeCell ref="A22:L22"/>
    <mergeCell ref="A23:F23"/>
    <mergeCell ref="G23:L23"/>
    <mergeCell ref="A24:F24"/>
    <mergeCell ref="G24:L24"/>
    <mergeCell ref="A25:F25"/>
    <mergeCell ref="G25:L25"/>
    <mergeCell ref="G35:L35"/>
    <mergeCell ref="J26:L26"/>
    <mergeCell ref="A27:F27"/>
    <mergeCell ref="G27:L27"/>
    <mergeCell ref="A28:F28"/>
    <mergeCell ref="G28:L28"/>
    <mergeCell ref="A29:F29"/>
    <mergeCell ref="G29:I29"/>
    <mergeCell ref="J29:L29"/>
    <mergeCell ref="A136:D136"/>
    <mergeCell ref="A30:F30"/>
    <mergeCell ref="G30:L30"/>
    <mergeCell ref="A31:F31"/>
    <mergeCell ref="G31:L31"/>
    <mergeCell ref="A36:L36"/>
    <mergeCell ref="A37:L37"/>
    <mergeCell ref="A34:F34"/>
    <mergeCell ref="A35:F35"/>
    <mergeCell ref="G34:L34"/>
    <mergeCell ref="O42:P42"/>
    <mergeCell ref="C69:I69"/>
    <mergeCell ref="A70:A71"/>
    <mergeCell ref="C70:I70"/>
    <mergeCell ref="C71:I71"/>
    <mergeCell ref="C73:I73"/>
    <mergeCell ref="D193:E193"/>
    <mergeCell ref="I78:K78"/>
    <mergeCell ref="C76:I76"/>
    <mergeCell ref="G79:H79"/>
    <mergeCell ref="I79:K79"/>
    <mergeCell ref="D188:E188"/>
    <mergeCell ref="D189:E189"/>
    <mergeCell ref="F138:J138"/>
    <mergeCell ref="A186:G186"/>
    <mergeCell ref="A188:C188"/>
    <mergeCell ref="M230:P230"/>
    <mergeCell ref="M231:P231"/>
    <mergeCell ref="M233:P233"/>
    <mergeCell ref="D190:E190"/>
    <mergeCell ref="A189:C189"/>
    <mergeCell ref="A192:C192"/>
    <mergeCell ref="A193:C193"/>
    <mergeCell ref="A190:C190"/>
    <mergeCell ref="N201:Q201"/>
    <mergeCell ref="D192:E192"/>
    <mergeCell ref="M234:P234"/>
    <mergeCell ref="A195:F195"/>
    <mergeCell ref="P194:Q194"/>
    <mergeCell ref="M232:P232"/>
    <mergeCell ref="N205:Q205"/>
    <mergeCell ref="A222:H222"/>
    <mergeCell ref="I196:I197"/>
    <mergeCell ref="N202:Q202"/>
    <mergeCell ref="N203:Q203"/>
    <mergeCell ref="N204:Q204"/>
    <mergeCell ref="M237:P237"/>
    <mergeCell ref="A249:D249"/>
    <mergeCell ref="M235:P235"/>
    <mergeCell ref="M236:P236"/>
    <mergeCell ref="J224:J225"/>
    <mergeCell ref="A32:F32"/>
    <mergeCell ref="A33:F33"/>
    <mergeCell ref="G32:L32"/>
    <mergeCell ref="G33:L33"/>
    <mergeCell ref="O223:P223"/>
  </mergeCells>
  <phoneticPr fontId="1" type="noConversion"/>
  <pageMargins left="1.7" right="0.75" top="0.56000000000000005" bottom="0.55000000000000004" header="0.5" footer="0.5"/>
  <pageSetup scale="47" orientation="portrait" r:id="rId1"/>
  <headerFooter alignWithMargins="0"/>
  <rowBreaks count="2" manualBreakCount="2">
    <brk id="77" max="16383" man="1"/>
    <brk id="154" max="16383" man="1"/>
  </rowBreaks>
  <colBreaks count="1" manualBreakCount="1">
    <brk id="14" max="1048575" man="1"/>
  </colBreaks>
  <drawing r:id="rId2"/>
  <legacyDrawing r:id="rId3"/>
  <controls>
    <mc:AlternateContent xmlns:mc="http://schemas.openxmlformats.org/markup-compatibility/2006">
      <mc:Choice Requires="x14">
        <control shapeId="1268434" r:id="rId4" name="ComboBox2">
          <controlPr defaultSize="0" autoLine="0" autoPict="0" linkedCell="Sheet2!H106" listFillRange="Sheet2!A106:A123" r:id="rId5">
            <anchor moveWithCells="1">
              <from>
                <xdr:col>0</xdr:col>
                <xdr:colOff>190500</xdr:colOff>
                <xdr:row>158</xdr:row>
                <xdr:rowOff>28575</xdr:rowOff>
              </from>
              <to>
                <xdr:col>2</xdr:col>
                <xdr:colOff>0</xdr:colOff>
                <xdr:row>159</xdr:row>
                <xdr:rowOff>161925</xdr:rowOff>
              </to>
            </anchor>
          </controlPr>
        </control>
      </mc:Choice>
      <mc:Fallback>
        <control shapeId="1268434" r:id="rId4" name="ComboBox2"/>
      </mc:Fallback>
    </mc:AlternateContent>
    <mc:AlternateContent xmlns:mc="http://schemas.openxmlformats.org/markup-compatibility/2006">
      <mc:Choice Requires="x14">
        <control shapeId="1268275" r:id="rId6" name="ComboBox1">
          <controlPr defaultSize="0" autoLine="0" linkedCell="Sheet2!J92" listFillRange="Sheet2!J95:J98" r:id="rId7">
            <anchor moveWithCells="1">
              <from>
                <xdr:col>1</xdr:col>
                <xdr:colOff>38100</xdr:colOff>
                <xdr:row>136</xdr:row>
                <xdr:rowOff>228600</xdr:rowOff>
              </from>
              <to>
                <xdr:col>2</xdr:col>
                <xdr:colOff>561975</xdr:colOff>
                <xdr:row>138</xdr:row>
                <xdr:rowOff>171450</xdr:rowOff>
              </to>
            </anchor>
          </controlPr>
        </control>
      </mc:Choice>
      <mc:Fallback>
        <control shapeId="1268275" r:id="rId6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381"/>
  <sheetViews>
    <sheetView topLeftCell="A55" workbookViewId="0">
      <selection activeCell="J69" sqref="J69"/>
    </sheetView>
  </sheetViews>
  <sheetFormatPr defaultRowHeight="12.75" x14ac:dyDescent="0.2"/>
  <cols>
    <col min="1" max="1" width="15.28515625" customWidth="1"/>
    <col min="2" max="2" width="12.7109375" customWidth="1"/>
    <col min="3" max="3" width="13.140625" customWidth="1"/>
    <col min="4" max="5" width="11.42578125" customWidth="1"/>
    <col min="6" max="6" width="13.28515625" customWidth="1"/>
    <col min="7" max="7" width="12.7109375" customWidth="1"/>
    <col min="8" max="9" width="13.7109375" customWidth="1"/>
    <col min="11" max="11" width="11.85546875" customWidth="1"/>
    <col min="12" max="12" width="12.42578125" customWidth="1"/>
    <col min="21" max="21" width="10.7109375" customWidth="1"/>
    <col min="23" max="23" width="10.85546875" customWidth="1"/>
    <col min="24" max="24" width="13" customWidth="1"/>
    <col min="25" max="25" width="10.42578125" customWidth="1"/>
  </cols>
  <sheetData>
    <row r="1" spans="1:18" ht="18" x14ac:dyDescent="0.25">
      <c r="A1" s="361" t="s">
        <v>410</v>
      </c>
      <c r="B1" s="361"/>
      <c r="C1">
        <v>0</v>
      </c>
      <c r="D1">
        <v>0</v>
      </c>
      <c r="F1" t="s">
        <v>44</v>
      </c>
      <c r="G1">
        <f>MBA!I43+MBA!H43/2</f>
        <v>0.75127551020408156</v>
      </c>
      <c r="H1">
        <f>MBA!H43*0.866025</f>
        <v>0.43080325255102048</v>
      </c>
    </row>
    <row r="2" spans="1:18" ht="18" x14ac:dyDescent="0.25">
      <c r="C2">
        <v>1</v>
      </c>
      <c r="D2">
        <v>0</v>
      </c>
      <c r="J2" s="104" t="s">
        <v>3</v>
      </c>
      <c r="K2" s="111">
        <f>MBA!H43</f>
        <v>0.49744897959183676</v>
      </c>
      <c r="M2" t="s">
        <v>263</v>
      </c>
      <c r="N2" s="149">
        <v>0.1</v>
      </c>
      <c r="O2" s="149">
        <v>0</v>
      </c>
      <c r="P2" s="149">
        <f t="shared" ref="P2:P54" si="0">1-N2-O2</f>
        <v>0.9</v>
      </c>
      <c r="Q2" s="150">
        <f t="shared" ref="Q2:Q53" si="1">O2+N2/2</f>
        <v>0.05</v>
      </c>
      <c r="R2" s="150">
        <f t="shared" ref="R2:R53" si="2">N2*0.866025</f>
        <v>8.6602500000000013E-2</v>
      </c>
    </row>
    <row r="3" spans="1:18" ht="18" x14ac:dyDescent="0.25">
      <c r="C3">
        <v>0.5</v>
      </c>
      <c r="D3">
        <v>0.86602500000000004</v>
      </c>
      <c r="J3" s="104" t="s">
        <v>4</v>
      </c>
      <c r="K3" s="111">
        <f>MBA!I43</f>
        <v>0.50255102040816324</v>
      </c>
      <c r="N3" s="149">
        <v>0.1</v>
      </c>
      <c r="O3" s="149">
        <v>0.9</v>
      </c>
      <c r="P3" s="149">
        <f t="shared" si="0"/>
        <v>0</v>
      </c>
      <c r="Q3" s="150">
        <f t="shared" si="1"/>
        <v>0.95000000000000007</v>
      </c>
      <c r="R3" s="150">
        <f t="shared" si="2"/>
        <v>8.6602500000000013E-2</v>
      </c>
    </row>
    <row r="4" spans="1:18" ht="18" x14ac:dyDescent="0.25">
      <c r="C4">
        <v>0</v>
      </c>
      <c r="D4">
        <v>0</v>
      </c>
      <c r="J4" s="104" t="s">
        <v>6</v>
      </c>
      <c r="K4" s="111">
        <f>MBA!J43</f>
        <v>0</v>
      </c>
      <c r="N4" s="149">
        <v>0.2</v>
      </c>
      <c r="O4" s="149">
        <v>0.8</v>
      </c>
      <c r="P4" s="149">
        <f t="shared" si="0"/>
        <v>0</v>
      </c>
      <c r="Q4" s="150">
        <f t="shared" si="1"/>
        <v>0.9</v>
      </c>
      <c r="R4" s="150">
        <f t="shared" si="2"/>
        <v>0.17320500000000003</v>
      </c>
    </row>
    <row r="5" spans="1:18" ht="18" x14ac:dyDescent="0.25">
      <c r="N5" s="149">
        <v>0.2</v>
      </c>
      <c r="O5" s="149">
        <v>0</v>
      </c>
      <c r="P5" s="149">
        <f t="shared" si="0"/>
        <v>0.8</v>
      </c>
      <c r="Q5" s="150">
        <f t="shared" si="1"/>
        <v>0.1</v>
      </c>
      <c r="R5" s="150">
        <f t="shared" si="2"/>
        <v>0.17320500000000003</v>
      </c>
    </row>
    <row r="6" spans="1:18" ht="18" x14ac:dyDescent="0.25">
      <c r="A6" t="s">
        <v>45</v>
      </c>
      <c r="B6">
        <v>0.49</v>
      </c>
      <c r="C6">
        <v>0.84899999999999998</v>
      </c>
      <c r="F6" t="s">
        <v>49</v>
      </c>
      <c r="G6">
        <v>0.73399999999999999</v>
      </c>
      <c r="H6">
        <v>0.40300000000000002</v>
      </c>
      <c r="J6">
        <v>1</v>
      </c>
      <c r="K6" s="5" t="str">
        <f>IF(AND(K2&gt;=0.98),"PD","")</f>
        <v/>
      </c>
      <c r="N6" s="149">
        <v>0.3</v>
      </c>
      <c r="O6" s="149">
        <v>0</v>
      </c>
      <c r="P6" s="149">
        <f t="shared" si="0"/>
        <v>0.7</v>
      </c>
      <c r="Q6" s="150">
        <f t="shared" si="1"/>
        <v>0.15</v>
      </c>
      <c r="R6" s="150">
        <f t="shared" si="2"/>
        <v>0.25980750000000002</v>
      </c>
    </row>
    <row r="7" spans="1:18" ht="18" x14ac:dyDescent="0.25">
      <c r="B7">
        <v>0.51</v>
      </c>
      <c r="C7">
        <v>0.84899999999999998</v>
      </c>
      <c r="G7">
        <v>0.48499999999999999</v>
      </c>
      <c r="H7">
        <v>0.84</v>
      </c>
      <c r="J7">
        <v>2</v>
      </c>
      <c r="K7" s="5" t="str">
        <f>IF(AND(K2&lt;0.98,K3&lt;0.2,K4&lt;0.04),"T1","")</f>
        <v/>
      </c>
      <c r="N7" s="149">
        <v>0.3</v>
      </c>
      <c r="O7" s="149">
        <v>0.7</v>
      </c>
      <c r="P7" s="149">
        <f t="shared" si="0"/>
        <v>0</v>
      </c>
      <c r="Q7" s="150">
        <f t="shared" si="1"/>
        <v>0.85</v>
      </c>
      <c r="R7" s="150">
        <f t="shared" si="2"/>
        <v>0.25980750000000002</v>
      </c>
    </row>
    <row r="8" spans="1:18" ht="18" x14ac:dyDescent="0.25">
      <c r="J8">
        <v>3</v>
      </c>
      <c r="K8" s="5" t="str">
        <f>IF(AND(K3&gt;=0.2,K3&lt;0.5,K4&lt;0.04),"T2","")</f>
        <v/>
      </c>
      <c r="N8" s="149">
        <v>0.4</v>
      </c>
      <c r="O8" s="149">
        <v>0.6</v>
      </c>
      <c r="P8" s="149">
        <f t="shared" si="0"/>
        <v>0</v>
      </c>
      <c r="Q8" s="150">
        <f t="shared" si="1"/>
        <v>0.8</v>
      </c>
      <c r="R8" s="150">
        <f t="shared" si="2"/>
        <v>0.34641000000000005</v>
      </c>
    </row>
    <row r="9" spans="1:18" ht="18" x14ac:dyDescent="0.25">
      <c r="A9" t="s">
        <v>46</v>
      </c>
      <c r="B9">
        <v>0.23</v>
      </c>
      <c r="C9">
        <v>0</v>
      </c>
      <c r="F9" t="s">
        <v>50</v>
      </c>
      <c r="G9">
        <v>0.85</v>
      </c>
      <c r="H9">
        <v>0</v>
      </c>
      <c r="J9">
        <v>4</v>
      </c>
      <c r="K9" s="5" t="str">
        <f>IF(AND(K3&gt;=0.5,K4&lt;0.15),"T3","")</f>
        <v>T3</v>
      </c>
      <c r="N9" s="149">
        <v>0.4</v>
      </c>
      <c r="O9" s="149">
        <v>0</v>
      </c>
      <c r="P9" s="149">
        <f t="shared" si="0"/>
        <v>0.6</v>
      </c>
      <c r="Q9" s="150">
        <f t="shared" si="1"/>
        <v>0.2</v>
      </c>
      <c r="R9" s="150">
        <f t="shared" si="2"/>
        <v>0.34641000000000005</v>
      </c>
    </row>
    <row r="10" spans="1:18" ht="18" x14ac:dyDescent="0.25">
      <c r="B10">
        <v>0.55000000000000004</v>
      </c>
      <c r="C10">
        <v>0.55400000000000005</v>
      </c>
      <c r="G10">
        <v>0.67</v>
      </c>
      <c r="H10">
        <v>0.30299999999999999</v>
      </c>
      <c r="J10">
        <v>5</v>
      </c>
      <c r="K10" s="5" t="str">
        <f>IF(AND(K3&lt;0.23,K4&gt;=0.13),"D1","")</f>
        <v/>
      </c>
      <c r="N10" s="149">
        <v>0.5</v>
      </c>
      <c r="O10" s="149">
        <v>0</v>
      </c>
      <c r="P10" s="149">
        <f t="shared" si="0"/>
        <v>0.5</v>
      </c>
      <c r="Q10" s="150">
        <f t="shared" si="1"/>
        <v>0.25</v>
      </c>
      <c r="R10" s="150">
        <f t="shared" si="2"/>
        <v>0.43301250000000002</v>
      </c>
    </row>
    <row r="11" spans="1:18" ht="18" x14ac:dyDescent="0.25">
      <c r="J11">
        <v>6</v>
      </c>
      <c r="K11" s="5" t="str">
        <f>IF(OR(AND(K3&gt;=0.23,K3&lt;0.4,K4&gt;=0.13,K4&lt;0.29),AND(K3&gt;=0.23,K4&gt;=0.29)),"D2","")</f>
        <v/>
      </c>
      <c r="N11" s="149">
        <v>0.5</v>
      </c>
      <c r="O11" s="149">
        <v>0.5</v>
      </c>
      <c r="P11" s="149">
        <f t="shared" si="0"/>
        <v>0</v>
      </c>
      <c r="Q11" s="150">
        <f t="shared" si="1"/>
        <v>0.75</v>
      </c>
      <c r="R11" s="150">
        <f t="shared" si="2"/>
        <v>0.43301250000000002</v>
      </c>
    </row>
    <row r="12" spans="1:18" ht="18" x14ac:dyDescent="0.25">
      <c r="A12" t="s">
        <v>47</v>
      </c>
      <c r="B12">
        <v>0.53500000000000003</v>
      </c>
      <c r="C12">
        <v>0.753</v>
      </c>
      <c r="F12" t="s">
        <v>51</v>
      </c>
      <c r="G12">
        <v>0.72</v>
      </c>
      <c r="H12">
        <v>0</v>
      </c>
      <c r="J12">
        <v>7</v>
      </c>
      <c r="K12" s="5" t="str">
        <f>IF(OR(AND(K3&lt;0.5,K4&gt;=0.04,K4&lt;0.13),AND(K3&gt;=0.4,K3&lt;0.5,K4&gt;=0.13,K4&lt;0.29),AND(K3&gt;=0.5,K4&gt;=0.15,K4&lt;0.29)),"DT","")</f>
        <v/>
      </c>
      <c r="N12" s="149">
        <v>0.6</v>
      </c>
      <c r="O12" s="149">
        <v>0.4</v>
      </c>
      <c r="P12" s="149">
        <f t="shared" si="0"/>
        <v>0</v>
      </c>
      <c r="Q12" s="150">
        <f t="shared" si="1"/>
        <v>0.7</v>
      </c>
      <c r="R12" s="150">
        <f t="shared" si="2"/>
        <v>0.51961500000000005</v>
      </c>
    </row>
    <row r="13" spans="1:18" ht="18" x14ac:dyDescent="0.25">
      <c r="B13">
        <v>0.55300000000000005</v>
      </c>
      <c r="C13">
        <v>0.78500000000000003</v>
      </c>
      <c r="G13">
        <v>0.56000000000000005</v>
      </c>
      <c r="H13">
        <v>0.28599999999999998</v>
      </c>
      <c r="N13" s="149">
        <v>0.6</v>
      </c>
      <c r="O13" s="149">
        <v>0</v>
      </c>
      <c r="P13" s="149">
        <f t="shared" si="0"/>
        <v>0.4</v>
      </c>
      <c r="Q13" s="150">
        <f t="shared" si="1"/>
        <v>0.3</v>
      </c>
      <c r="R13" s="150">
        <f t="shared" si="2"/>
        <v>0.51961500000000005</v>
      </c>
    </row>
    <row r="14" spans="1:18" ht="18" x14ac:dyDescent="0.25">
      <c r="K14" s="112" t="str">
        <f t="array" ref="K14">INDEX(KETQUA1,MATCH(MAX(LEN(KETQUA1)),LEN(KETQUA1),FALSE),1)</f>
        <v>T3</v>
      </c>
      <c r="N14" s="149">
        <v>0.7</v>
      </c>
      <c r="O14" s="149">
        <v>0</v>
      </c>
      <c r="P14" s="149">
        <f t="shared" si="0"/>
        <v>0.30000000000000004</v>
      </c>
      <c r="Q14" s="150">
        <f t="shared" si="1"/>
        <v>0.35</v>
      </c>
      <c r="R14" s="150">
        <f t="shared" si="2"/>
        <v>0.60621749999999996</v>
      </c>
    </row>
    <row r="15" spans="1:18" ht="18" x14ac:dyDescent="0.25">
      <c r="A15" t="s">
        <v>53</v>
      </c>
      <c r="B15">
        <v>0.67</v>
      </c>
      <c r="C15">
        <v>0.29599999999999999</v>
      </c>
      <c r="F15" t="s">
        <v>52</v>
      </c>
      <c r="G15">
        <v>0.63</v>
      </c>
      <c r="H15">
        <v>0.40699999999999997</v>
      </c>
      <c r="N15" s="149">
        <v>0.7</v>
      </c>
      <c r="O15" s="149">
        <v>0.3</v>
      </c>
      <c r="P15" s="149">
        <f t="shared" si="0"/>
        <v>0</v>
      </c>
      <c r="Q15" s="150">
        <f t="shared" si="1"/>
        <v>0.64999999999999991</v>
      </c>
      <c r="R15" s="150">
        <f t="shared" si="2"/>
        <v>0.60621749999999996</v>
      </c>
    </row>
    <row r="16" spans="1:18" ht="18" x14ac:dyDescent="0.25">
      <c r="B16">
        <v>0.75</v>
      </c>
      <c r="C16">
        <v>0.433</v>
      </c>
      <c r="G16">
        <v>0.435</v>
      </c>
      <c r="H16">
        <v>0.753</v>
      </c>
      <c r="N16" s="149">
        <v>0.8</v>
      </c>
      <c r="O16" s="149">
        <v>0.2</v>
      </c>
      <c r="P16" s="149">
        <f t="shared" si="0"/>
        <v>0</v>
      </c>
      <c r="Q16" s="150">
        <f t="shared" si="1"/>
        <v>0.60000000000000009</v>
      </c>
      <c r="R16" s="150">
        <f t="shared" si="2"/>
        <v>0.6928200000000001</v>
      </c>
    </row>
    <row r="17" spans="1:18" ht="18" x14ac:dyDescent="0.25">
      <c r="N17" s="149">
        <v>0.8</v>
      </c>
      <c r="O17" s="149">
        <v>0</v>
      </c>
      <c r="P17" s="149">
        <f t="shared" si="0"/>
        <v>0.19999999999999996</v>
      </c>
      <c r="Q17" s="150">
        <f t="shared" si="1"/>
        <v>0.4</v>
      </c>
      <c r="R17" s="150">
        <f t="shared" si="2"/>
        <v>0.6928200000000001</v>
      </c>
    </row>
    <row r="18" spans="1:18" ht="18" x14ac:dyDescent="0.25">
      <c r="A18" s="21" t="s">
        <v>48</v>
      </c>
      <c r="B18" s="21">
        <v>0.56299999999999994</v>
      </c>
      <c r="C18" s="21">
        <v>0.28799999999999998</v>
      </c>
      <c r="N18" s="149">
        <v>0.9</v>
      </c>
      <c r="O18" s="149">
        <v>0</v>
      </c>
      <c r="P18" s="149">
        <f t="shared" si="0"/>
        <v>9.9999999999999978E-2</v>
      </c>
      <c r="Q18" s="150">
        <f t="shared" si="1"/>
        <v>0.45</v>
      </c>
      <c r="R18" s="150">
        <f t="shared" si="2"/>
        <v>0.77942250000000002</v>
      </c>
    </row>
    <row r="19" spans="1:18" ht="18" x14ac:dyDescent="0.25">
      <c r="A19" s="21"/>
      <c r="B19" s="21">
        <v>0.63</v>
      </c>
      <c r="C19" s="21">
        <v>0.40699999999999997</v>
      </c>
      <c r="N19" s="149">
        <v>0.9</v>
      </c>
      <c r="O19" s="149">
        <v>0.1</v>
      </c>
      <c r="P19" s="149">
        <f t="shared" si="0"/>
        <v>0</v>
      </c>
      <c r="Q19" s="150">
        <f t="shared" si="1"/>
        <v>0.55000000000000004</v>
      </c>
      <c r="R19" s="150">
        <f t="shared" si="2"/>
        <v>0.77942250000000002</v>
      </c>
    </row>
    <row r="20" spans="1:18" ht="18" x14ac:dyDescent="0.25">
      <c r="N20" s="149">
        <v>0</v>
      </c>
      <c r="O20" s="149">
        <v>0.1</v>
      </c>
      <c r="P20" s="149">
        <f t="shared" si="0"/>
        <v>0.9</v>
      </c>
      <c r="Q20" s="150">
        <f t="shared" si="1"/>
        <v>0.1</v>
      </c>
      <c r="R20" s="150">
        <f t="shared" si="2"/>
        <v>0</v>
      </c>
    </row>
    <row r="21" spans="1:18" ht="18" x14ac:dyDescent="0.25">
      <c r="A21" s="361" t="s">
        <v>67</v>
      </c>
      <c r="B21" s="361"/>
      <c r="C21" s="361"/>
      <c r="D21" s="92"/>
      <c r="N21" s="149">
        <v>0</v>
      </c>
      <c r="O21" s="149">
        <v>0.2</v>
      </c>
      <c r="P21" s="149">
        <f t="shared" si="0"/>
        <v>0.8</v>
      </c>
      <c r="Q21" s="150">
        <f t="shared" si="1"/>
        <v>0.2</v>
      </c>
      <c r="R21" s="150">
        <f t="shared" si="2"/>
        <v>0</v>
      </c>
    </row>
    <row r="22" spans="1:18" ht="18" x14ac:dyDescent="0.25">
      <c r="N22" s="149">
        <v>0.8</v>
      </c>
      <c r="O22" s="149">
        <v>0.2</v>
      </c>
      <c r="P22" s="149">
        <f t="shared" si="0"/>
        <v>0</v>
      </c>
      <c r="Q22" s="150">
        <f t="shared" si="1"/>
        <v>0.60000000000000009</v>
      </c>
      <c r="R22" s="150">
        <f t="shared" si="2"/>
        <v>0.6928200000000001</v>
      </c>
    </row>
    <row r="23" spans="1:18" ht="18" x14ac:dyDescent="0.25">
      <c r="A23" s="27" t="s">
        <v>46</v>
      </c>
      <c r="B23" s="27">
        <v>0.245</v>
      </c>
      <c r="C23" s="27">
        <v>0.217</v>
      </c>
      <c r="D23" s="27"/>
      <c r="E23" s="27"/>
      <c r="F23" s="27"/>
      <c r="G23" s="27"/>
      <c r="H23" s="27"/>
      <c r="I23" s="27"/>
      <c r="N23" s="149">
        <v>0.7</v>
      </c>
      <c r="O23" s="149">
        <v>0.3</v>
      </c>
      <c r="P23" s="149">
        <f t="shared" si="0"/>
        <v>0</v>
      </c>
      <c r="Q23" s="150">
        <f t="shared" si="1"/>
        <v>0.64999999999999991</v>
      </c>
      <c r="R23" s="150">
        <f t="shared" si="2"/>
        <v>0.60621749999999996</v>
      </c>
    </row>
    <row r="24" spans="1:18" ht="18" x14ac:dyDescent="0.25">
      <c r="A24" s="27"/>
      <c r="B24" s="27">
        <v>0.33</v>
      </c>
      <c r="C24" s="27">
        <v>0.46800000000000003</v>
      </c>
      <c r="D24" s="27"/>
      <c r="E24" s="27"/>
      <c r="F24" s="27"/>
      <c r="G24" s="27"/>
      <c r="H24" s="27"/>
      <c r="I24" s="27"/>
      <c r="N24" s="149">
        <v>0</v>
      </c>
      <c r="O24" s="149">
        <v>0.3</v>
      </c>
      <c r="P24" s="149">
        <f t="shared" si="0"/>
        <v>0.7</v>
      </c>
      <c r="Q24" s="150">
        <f t="shared" si="1"/>
        <v>0.3</v>
      </c>
      <c r="R24" s="150">
        <f t="shared" si="2"/>
        <v>0</v>
      </c>
    </row>
    <row r="25" spans="1:18" ht="18" x14ac:dyDescent="0.25">
      <c r="A25" s="27"/>
      <c r="B25" s="27"/>
      <c r="C25" s="27"/>
      <c r="D25" s="27"/>
      <c r="E25" s="27"/>
      <c r="F25" s="27"/>
      <c r="G25" s="27"/>
      <c r="H25" s="27"/>
      <c r="I25" s="27"/>
      <c r="N25" s="149">
        <v>0</v>
      </c>
      <c r="O25" s="149">
        <v>0.4</v>
      </c>
      <c r="P25" s="149">
        <f t="shared" si="0"/>
        <v>0.6</v>
      </c>
      <c r="Q25" s="150">
        <f t="shared" si="1"/>
        <v>0.4</v>
      </c>
      <c r="R25" s="150">
        <f t="shared" si="2"/>
        <v>0</v>
      </c>
    </row>
    <row r="26" spans="1:18" ht="18" x14ac:dyDescent="0.25">
      <c r="A26" s="27" t="s">
        <v>47</v>
      </c>
      <c r="B26" s="27">
        <v>0.33</v>
      </c>
      <c r="C26" s="27">
        <v>0.46800000000000003</v>
      </c>
      <c r="D26" s="27"/>
      <c r="E26" s="27"/>
      <c r="F26" s="27" t="s">
        <v>68</v>
      </c>
      <c r="G26" s="27">
        <v>0.63500000000000001</v>
      </c>
      <c r="H26" s="27">
        <v>0.45</v>
      </c>
      <c r="I26" s="114"/>
      <c r="J26" s="104" t="s">
        <v>121</v>
      </c>
      <c r="K26" s="111">
        <f>MBA!L79</f>
        <v>5.1189245087900723E-2</v>
      </c>
      <c r="N26" s="149">
        <v>0.6</v>
      </c>
      <c r="O26" s="149">
        <v>0.4</v>
      </c>
      <c r="P26" s="149">
        <f t="shared" si="0"/>
        <v>0</v>
      </c>
      <c r="Q26" s="150">
        <f t="shared" si="1"/>
        <v>0.7</v>
      </c>
      <c r="R26" s="150">
        <f t="shared" si="2"/>
        <v>0.51961500000000005</v>
      </c>
    </row>
    <row r="27" spans="1:18" ht="18" x14ac:dyDescent="0.25">
      <c r="A27" s="27"/>
      <c r="B27" s="27">
        <v>0.53500000000000003</v>
      </c>
      <c r="C27" s="27">
        <v>0.81</v>
      </c>
      <c r="D27" s="27"/>
      <c r="E27" s="27"/>
      <c r="F27" s="27"/>
      <c r="G27" s="27">
        <v>0.71499999999999997</v>
      </c>
      <c r="H27" s="27">
        <v>0.19900000000000001</v>
      </c>
      <c r="I27" s="114"/>
      <c r="J27" s="104" t="s">
        <v>122</v>
      </c>
      <c r="K27" s="111">
        <f>MBA!M79</f>
        <v>0.94881075491209932</v>
      </c>
      <c r="N27" s="149">
        <v>0.5</v>
      </c>
      <c r="O27" s="149">
        <v>0.5</v>
      </c>
      <c r="P27" s="149">
        <f t="shared" si="0"/>
        <v>0</v>
      </c>
      <c r="Q27" s="150">
        <f t="shared" si="1"/>
        <v>0.75</v>
      </c>
      <c r="R27" s="150">
        <f t="shared" si="2"/>
        <v>0.43301250000000002</v>
      </c>
    </row>
    <row r="28" spans="1:18" ht="18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104" t="s">
        <v>28</v>
      </c>
      <c r="K28" s="111">
        <f>MBA!N79</f>
        <v>0</v>
      </c>
      <c r="N28" s="149">
        <v>0</v>
      </c>
      <c r="O28" s="149">
        <v>0.5</v>
      </c>
      <c r="P28" s="149">
        <f t="shared" si="0"/>
        <v>0.5</v>
      </c>
      <c r="Q28" s="150">
        <f t="shared" si="1"/>
        <v>0.5</v>
      </c>
      <c r="R28" s="150">
        <f t="shared" si="2"/>
        <v>0</v>
      </c>
    </row>
    <row r="29" spans="1:18" ht="18" x14ac:dyDescent="0.25">
      <c r="A29" s="27" t="s">
        <v>53</v>
      </c>
      <c r="B29" s="27">
        <v>0.245</v>
      </c>
      <c r="C29" s="27">
        <v>0.217</v>
      </c>
      <c r="D29" s="27"/>
      <c r="E29" s="27"/>
      <c r="F29" s="27" t="s">
        <v>69</v>
      </c>
      <c r="G29" s="27">
        <v>0.71499999999999997</v>
      </c>
      <c r="H29" s="27">
        <v>0.19900000000000001</v>
      </c>
      <c r="I29" s="27"/>
      <c r="N29" s="149">
        <v>0</v>
      </c>
      <c r="O29" s="149">
        <v>0.6</v>
      </c>
      <c r="P29" s="149">
        <f t="shared" si="0"/>
        <v>0.4</v>
      </c>
      <c r="Q29" s="150">
        <f t="shared" si="1"/>
        <v>0.6</v>
      </c>
      <c r="R29" s="150">
        <f t="shared" si="2"/>
        <v>0</v>
      </c>
    </row>
    <row r="30" spans="1:18" ht="18" x14ac:dyDescent="0.25">
      <c r="A30" s="27"/>
      <c r="B30" s="27">
        <v>0.66</v>
      </c>
      <c r="C30" s="27">
        <v>8.6999999999999994E-2</v>
      </c>
      <c r="D30" s="27"/>
      <c r="E30" s="27"/>
      <c r="F30" s="27"/>
      <c r="G30" s="27">
        <v>0.9</v>
      </c>
      <c r="H30" s="27">
        <v>0.17</v>
      </c>
      <c r="I30" s="27"/>
      <c r="J30">
        <v>1</v>
      </c>
      <c r="K30" t="str">
        <f>IF(AND(K26&gt;=0.9,K27&lt;=0.08,K28&lt;=0.02),"PD","")</f>
        <v/>
      </c>
      <c r="L30" t="s">
        <v>32</v>
      </c>
      <c r="M30" t="str">
        <f>IF(AND(K26&gt;=0.9,K27&lt;=0.08,K28&lt;=0.02),"PD","")</f>
        <v/>
      </c>
      <c r="N30" s="149">
        <v>0.4</v>
      </c>
      <c r="O30" s="149">
        <v>0.6</v>
      </c>
      <c r="P30" s="149">
        <f t="shared" si="0"/>
        <v>0</v>
      </c>
      <c r="Q30" s="150">
        <f t="shared" si="1"/>
        <v>0.8</v>
      </c>
      <c r="R30" s="150">
        <f t="shared" si="2"/>
        <v>0.34641000000000005</v>
      </c>
    </row>
    <row r="31" spans="1:18" ht="18" x14ac:dyDescent="0.25">
      <c r="A31" s="27"/>
      <c r="B31" s="27"/>
      <c r="C31" s="27"/>
      <c r="D31" s="27"/>
      <c r="E31" s="27"/>
      <c r="F31" s="27"/>
      <c r="G31" s="27"/>
      <c r="H31" s="27"/>
      <c r="I31" s="27"/>
      <c r="J31">
        <v>2</v>
      </c>
      <c r="K31" t="str">
        <f>IF(AND(K26&gt;0.22,K26&lt;0.9,K27&gt;=0.06,K27&lt;0.33,K28&gt;0.01,K28&lt;0.63),"D1","")</f>
        <v/>
      </c>
      <c r="L31" t="s">
        <v>38</v>
      </c>
      <c r="M31" t="str">
        <f>IF(AND(K26&lt;=0.04,K28&lt;=0.02),"T1","")</f>
        <v/>
      </c>
      <c r="N31" s="149">
        <v>0.3</v>
      </c>
      <c r="O31" s="149">
        <v>0.7</v>
      </c>
      <c r="P31" s="149">
        <f t="shared" si="0"/>
        <v>0</v>
      </c>
      <c r="Q31" s="150">
        <f t="shared" si="1"/>
        <v>0.85</v>
      </c>
      <c r="R31" s="150">
        <f t="shared" si="2"/>
        <v>0.25980750000000002</v>
      </c>
    </row>
    <row r="32" spans="1:18" ht="18" x14ac:dyDescent="0.25">
      <c r="A32" s="27" t="s">
        <v>48</v>
      </c>
      <c r="B32" s="27">
        <v>0.66</v>
      </c>
      <c r="C32" s="27">
        <v>8.6999999999999994E-2</v>
      </c>
      <c r="D32" s="27"/>
      <c r="E32" s="27"/>
      <c r="F32" s="27" t="s">
        <v>70</v>
      </c>
      <c r="G32" s="27">
        <v>0.84499999999999997</v>
      </c>
      <c r="H32" s="27">
        <v>0.18099999999999999</v>
      </c>
      <c r="I32" s="27"/>
      <c r="J32">
        <v>3</v>
      </c>
      <c r="K32" t="str">
        <f>IF(AND(K26&gt;0.1,K26&lt;0.6,K27&gt;0.31,K27&lt;0.64,K28&gt;0.07,K28&lt;0.47),"D2","")</f>
        <v/>
      </c>
      <c r="L32" t="s">
        <v>36</v>
      </c>
      <c r="M32" t="str">
        <f>IF(AND(K26&gt;0.04,K26&lt;0.21,K27&gt;0.75,K27&lt;0.96,K28&lt;=0.05),"T2","")</f>
        <v>T2</v>
      </c>
      <c r="N32" s="149">
        <v>0</v>
      </c>
      <c r="O32" s="149">
        <v>0.7</v>
      </c>
      <c r="P32" s="149">
        <f t="shared" si="0"/>
        <v>0.30000000000000004</v>
      </c>
      <c r="Q32" s="150">
        <f t="shared" si="1"/>
        <v>0.7</v>
      </c>
      <c r="R32" s="150">
        <f t="shared" si="2"/>
        <v>0</v>
      </c>
    </row>
    <row r="33" spans="1:18" ht="18" x14ac:dyDescent="0.25">
      <c r="A33" s="27"/>
      <c r="B33" s="27">
        <v>0.63</v>
      </c>
      <c r="C33" s="27">
        <v>0.52</v>
      </c>
      <c r="D33" s="27"/>
      <c r="E33" s="27"/>
      <c r="F33" s="27"/>
      <c r="G33" s="27">
        <v>0.94</v>
      </c>
      <c r="H33" s="27">
        <v>3.2000000000000001E-2</v>
      </c>
      <c r="I33" s="27"/>
      <c r="J33">
        <v>4</v>
      </c>
      <c r="K33" t="str">
        <f>IF(AND(K26&gt;0.2,K26&lt;0.51,K27&gt;0.38,K27&lt;0.8,K28&lt;0.17),"T3","")</f>
        <v/>
      </c>
      <c r="L33" t="s">
        <v>34</v>
      </c>
      <c r="M33" t="str">
        <f>IF(OR(AND(K26&gt;=0.21,K26&lt;=0.51,K28&lt;=0.12),AND(K26&gt;0.51,K26&lt;0.52,K28&gt;=0.05,K28&lt;0.12),AND(K26&gt;=0.205,K26&lt;=0.21,K28&lt;0.1),AND(K26&gt;0.2,K26&lt;0.203,K28&lt;0.05),AND(K26&gt;0.21,K26&lt;0.4,K28&gt;0.12,K28&lt;0.14),AND(K26&gt;=0.22,K26&lt;=0.3,K28&gt;0.14,K28&lt;0.17)),"T3","")</f>
        <v/>
      </c>
      <c r="N33" s="149">
        <v>0</v>
      </c>
      <c r="O33" s="149">
        <v>0.8</v>
      </c>
      <c r="P33" s="149">
        <f t="shared" si="0"/>
        <v>0.19999999999999996</v>
      </c>
      <c r="Q33" s="150">
        <f t="shared" si="1"/>
        <v>0.8</v>
      </c>
      <c r="R33" s="150">
        <f t="shared" si="2"/>
        <v>0</v>
      </c>
    </row>
    <row r="34" spans="1:18" ht="18" x14ac:dyDescent="0.25">
      <c r="A34" s="27"/>
      <c r="B34" s="27"/>
      <c r="C34" s="27"/>
      <c r="D34" s="27"/>
      <c r="E34" s="27"/>
      <c r="F34" s="27"/>
      <c r="G34" s="27"/>
      <c r="H34" s="27"/>
      <c r="I34" s="27"/>
      <c r="J34">
        <v>5</v>
      </c>
      <c r="K34" t="str">
        <f>IF(AND(K26&gt;0.04,K26&lt;0.21,K27&gt;0.75,K27&lt;0.96,K28&lt;=0.04),"T2","")</f>
        <v>T2</v>
      </c>
      <c r="L34" t="s">
        <v>40</v>
      </c>
      <c r="M34" t="str">
        <f>IF(OR(AND(K26&gt;0.54,K27&gt;=0.06,K27&lt;=0.33,K28&gt;=0.07,K28&lt;=0.4),AND(K27&gt;=0.06,K27&lt;0.3,K28&gt;=0.05,K28&lt;0.07),AND(K27&gt;=0.06,K27&lt;=0.18,K28&gt;=0.03,K28&lt;0.05),AND(K27&gt;=0.06,K27&lt;=0.17,K28&gt;=0.02,K28&lt;0.03),AND(K27&gt;0.06,K27&lt;0.12,K28&gt;0.01,K28&lt;0.02),AND(K27&gt;=0.06,K27&lt;=0.33,K28&gt;0.4,K28&lt;=0.47),AND(K26&gt;0.22,K27&gt;0.09,K27&lt;0.3,K28&gt;0.47,K28&lt;0.52),AND(K26&gt;0.22,K27&gt;0.12,K27&lt;0.2,K28&gt;0.52,K28&lt;=0.58),AND(K26&gt;0.22,K27&gt;=0.12,K28&gt;0.58)),"D1","")</f>
        <v/>
      </c>
      <c r="N34" s="149">
        <v>0.2</v>
      </c>
      <c r="O34" s="149">
        <v>0.8</v>
      </c>
      <c r="P34" s="149">
        <f t="shared" si="0"/>
        <v>0</v>
      </c>
      <c r="Q34" s="150">
        <f t="shared" si="1"/>
        <v>0.9</v>
      </c>
      <c r="R34" s="150">
        <f t="shared" si="2"/>
        <v>0.17320500000000003</v>
      </c>
    </row>
    <row r="35" spans="1:18" ht="18" x14ac:dyDescent="0.25">
      <c r="A35" s="27" t="s">
        <v>49</v>
      </c>
      <c r="B35" s="27">
        <v>0.63</v>
      </c>
      <c r="C35" s="27">
        <v>0.52</v>
      </c>
      <c r="D35" s="27"/>
      <c r="E35" s="27"/>
      <c r="F35" s="27" t="s">
        <v>71</v>
      </c>
      <c r="G35" s="27">
        <v>0.95499999999999996</v>
      </c>
      <c r="H35" s="27">
        <v>3.2000000000000001E-2</v>
      </c>
      <c r="I35" s="27"/>
      <c r="J35">
        <v>6</v>
      </c>
      <c r="K35" t="str">
        <f>IF(AND(K26&lt;=0.04,K28&lt;=0.02),"T1","")</f>
        <v/>
      </c>
      <c r="L35" t="s">
        <v>42</v>
      </c>
      <c r="M35" t="str">
        <f>IF(OR(AND(K26&gt;=0.19,K27&gt;=0.31,K27&lt;=0.4,K28&gt;=0.12,K28&lt;=0.2),AND(K26&lt;=0.5,K27&gt;=0.31,K27&lt;=0.4,K28&gt;=0.12,K28&lt;=0.2),AND(K27&gt;=0.4,K27&lt;=0.5,K28&gt;0.17,K28&lt;0.2),AND(K27&gt;0.4,K27&lt;0.44,K28&gt;0.12,K28&lt;0.17),AND(K26&gt;0.17,K26&lt;0.19,K27&gt;=0.31,K27&lt;0.4,K28&gt;=0.43),AND(K26&gt;0.14,K26&lt;=0.17,K28&gt;0.36,K28&lt;0.43),AND(K26&gt;=0.1,K26&lt;=0.14,K28&gt;=0.29,K28&lt;0.36),AND(K26&gt;=0.5,K27&gt;=0.32,K27&lt;0.38,K28&gt;=0.13),AND(K26&gt;0.5,K27&gt;=0.33,K28&gt;=0.1,K28&lt;0.13),AND(K27&gt;=0.33,K27&lt;0.35,K28&gt;0.07,K28&lt;0.1)),"D2","")</f>
        <v/>
      </c>
      <c r="N35" s="149">
        <v>0.1</v>
      </c>
      <c r="O35" s="149">
        <v>0.9</v>
      </c>
      <c r="P35" s="149">
        <f t="shared" si="0"/>
        <v>0</v>
      </c>
      <c r="Q35" s="150">
        <f t="shared" si="1"/>
        <v>0.95000000000000007</v>
      </c>
      <c r="R35" s="150">
        <f t="shared" si="2"/>
        <v>8.6602500000000013E-2</v>
      </c>
    </row>
    <row r="36" spans="1:18" ht="18" x14ac:dyDescent="0.25">
      <c r="A36" s="27"/>
      <c r="B36" s="27">
        <v>0.52800000000000002</v>
      </c>
      <c r="C36" s="27">
        <v>0.8</v>
      </c>
      <c r="D36" s="27"/>
      <c r="E36" s="27"/>
      <c r="F36" s="27"/>
      <c r="G36" s="27">
        <v>0.98</v>
      </c>
      <c r="H36" s="27">
        <v>0</v>
      </c>
      <c r="I36" s="27"/>
      <c r="N36" s="149">
        <v>0</v>
      </c>
      <c r="O36" s="149">
        <v>0.9</v>
      </c>
      <c r="P36" s="149">
        <f t="shared" si="0"/>
        <v>9.9999999999999978E-2</v>
      </c>
      <c r="Q36" s="150">
        <f t="shared" si="1"/>
        <v>0.9</v>
      </c>
      <c r="R36" s="150">
        <f t="shared" si="2"/>
        <v>0</v>
      </c>
    </row>
    <row r="37" spans="1:18" ht="18" x14ac:dyDescent="0.25">
      <c r="A37" s="27"/>
      <c r="B37" s="27"/>
      <c r="C37" s="27"/>
      <c r="D37" s="27"/>
      <c r="E37" s="27"/>
      <c r="F37" s="27"/>
      <c r="G37" s="27"/>
      <c r="H37" s="27"/>
      <c r="I37" s="27"/>
      <c r="K37" s="5"/>
      <c r="N37" s="149">
        <v>0.9</v>
      </c>
      <c r="O37" s="149">
        <v>0</v>
      </c>
      <c r="P37" s="149">
        <f t="shared" si="0"/>
        <v>9.9999999999999978E-2</v>
      </c>
      <c r="Q37" s="150">
        <f t="shared" si="1"/>
        <v>0.45</v>
      </c>
      <c r="R37" s="150">
        <f t="shared" si="2"/>
        <v>0.77942250000000002</v>
      </c>
    </row>
    <row r="38" spans="1:18" ht="18" x14ac:dyDescent="0.25">
      <c r="A38" s="27" t="s">
        <v>50</v>
      </c>
      <c r="B38" s="27">
        <v>0.42</v>
      </c>
      <c r="C38" s="27">
        <v>0.16300000000000001</v>
      </c>
      <c r="D38" s="27"/>
      <c r="E38" s="27"/>
      <c r="F38" s="27" t="s">
        <v>72</v>
      </c>
      <c r="G38" s="27">
        <v>0.94</v>
      </c>
      <c r="H38" s="27">
        <v>3.2000000000000001E-2</v>
      </c>
      <c r="I38" s="27"/>
      <c r="K38" s="5"/>
      <c r="N38" s="149">
        <v>0.8</v>
      </c>
      <c r="O38" s="149">
        <v>0</v>
      </c>
      <c r="P38" s="149">
        <f t="shared" si="0"/>
        <v>0.19999999999999996</v>
      </c>
      <c r="Q38" s="150">
        <f t="shared" si="1"/>
        <v>0.4</v>
      </c>
      <c r="R38" s="150">
        <f t="shared" si="2"/>
        <v>0.6928200000000001</v>
      </c>
    </row>
    <row r="39" spans="1:18" ht="18" x14ac:dyDescent="0.25">
      <c r="A39" s="27"/>
      <c r="B39" s="27">
        <v>0.63</v>
      </c>
      <c r="C39" s="27">
        <v>0.52</v>
      </c>
      <c r="D39" s="27"/>
      <c r="E39" s="27"/>
      <c r="F39" s="27"/>
      <c r="G39" s="27">
        <v>0.98</v>
      </c>
      <c r="H39" s="27">
        <v>3.2000000000000001E-2</v>
      </c>
      <c r="I39" s="27"/>
      <c r="K39" s="124" t="str">
        <f t="array" ref="K39">INDEX(KETQUA4,MATCH(MAX(LEN(KETQUA4)),LEN(KETQUA4),FALSE),1)</f>
        <v>T2</v>
      </c>
      <c r="M39" s="112" t="str">
        <f t="array" ref="M39">INDEX(KETQUA6,MATCH(MAX(LEN(KETQUA6)),LEN(KETQUA6),FALSE),1)</f>
        <v>T2</v>
      </c>
      <c r="N39" s="149">
        <v>0</v>
      </c>
      <c r="O39" s="149">
        <v>0.8</v>
      </c>
      <c r="P39" s="149">
        <f t="shared" si="0"/>
        <v>0.19999999999999996</v>
      </c>
      <c r="Q39" s="150">
        <f t="shared" si="1"/>
        <v>0.8</v>
      </c>
      <c r="R39" s="150">
        <f t="shared" si="2"/>
        <v>0</v>
      </c>
    </row>
    <row r="40" spans="1:18" ht="18" x14ac:dyDescent="0.25">
      <c r="A40" s="27"/>
      <c r="B40" s="27"/>
      <c r="C40" s="27"/>
      <c r="D40" s="27"/>
      <c r="E40" s="27"/>
      <c r="F40" s="27"/>
      <c r="G40" s="27"/>
      <c r="H40" s="27"/>
      <c r="I40" s="27"/>
      <c r="K40" s="5"/>
      <c r="N40" s="149">
        <v>0</v>
      </c>
      <c r="O40" s="149">
        <v>0.7</v>
      </c>
      <c r="P40" s="149">
        <f t="shared" si="0"/>
        <v>0.30000000000000004</v>
      </c>
      <c r="Q40" s="150">
        <f t="shared" si="1"/>
        <v>0.7</v>
      </c>
      <c r="R40" s="150">
        <f t="shared" si="2"/>
        <v>0</v>
      </c>
    </row>
    <row r="41" spans="1:18" ht="18" x14ac:dyDescent="0.25">
      <c r="A41" s="27" t="s">
        <v>51</v>
      </c>
      <c r="B41" s="27">
        <v>0.495</v>
      </c>
      <c r="C41" s="27">
        <v>0.85699999999999998</v>
      </c>
      <c r="D41" s="27"/>
      <c r="E41" s="27"/>
      <c r="F41" s="27" t="s">
        <v>73</v>
      </c>
      <c r="G41" s="27">
        <v>0.245</v>
      </c>
      <c r="H41" s="27">
        <v>0</v>
      </c>
      <c r="I41" s="27"/>
      <c r="N41" s="149">
        <v>0.7</v>
      </c>
      <c r="O41" s="149">
        <v>0</v>
      </c>
      <c r="P41" s="149">
        <f t="shared" si="0"/>
        <v>0.30000000000000004</v>
      </c>
      <c r="Q41" s="150">
        <f t="shared" si="1"/>
        <v>0.35</v>
      </c>
      <c r="R41" s="150">
        <f t="shared" si="2"/>
        <v>0.60621749999999996</v>
      </c>
    </row>
    <row r="42" spans="1:18" ht="18" x14ac:dyDescent="0.25">
      <c r="A42" s="27"/>
      <c r="B42" s="27">
        <v>0.52800000000000002</v>
      </c>
      <c r="C42" s="27">
        <v>0.8</v>
      </c>
      <c r="D42" s="27"/>
      <c r="E42" s="27"/>
      <c r="F42" s="27"/>
      <c r="G42" s="27">
        <v>0.245</v>
      </c>
      <c r="H42" s="27">
        <v>0.217</v>
      </c>
      <c r="I42" s="27"/>
      <c r="N42" s="149">
        <v>0.6</v>
      </c>
      <c r="O42" s="149">
        <v>0</v>
      </c>
      <c r="P42" s="149">
        <f t="shared" si="0"/>
        <v>0.4</v>
      </c>
      <c r="Q42" s="150">
        <f t="shared" si="1"/>
        <v>0.3</v>
      </c>
      <c r="R42" s="150">
        <f t="shared" si="2"/>
        <v>0.51961500000000005</v>
      </c>
    </row>
    <row r="43" spans="1:18" ht="18" x14ac:dyDescent="0.25">
      <c r="A43" s="27"/>
      <c r="B43" s="27"/>
      <c r="C43" s="27"/>
      <c r="D43" s="27"/>
      <c r="E43" s="27"/>
      <c r="F43" s="27"/>
      <c r="G43" s="27"/>
      <c r="H43" s="27"/>
      <c r="I43" s="27"/>
      <c r="N43" s="149">
        <v>0</v>
      </c>
      <c r="O43" s="149">
        <v>0.6</v>
      </c>
      <c r="P43" s="149">
        <f t="shared" si="0"/>
        <v>0.4</v>
      </c>
      <c r="Q43" s="150">
        <f t="shared" si="1"/>
        <v>0.6</v>
      </c>
      <c r="R43" s="150">
        <f t="shared" si="2"/>
        <v>0</v>
      </c>
    </row>
    <row r="44" spans="1:18" ht="18" x14ac:dyDescent="0.25">
      <c r="A44" s="27" t="s">
        <v>52</v>
      </c>
      <c r="B44" s="27">
        <v>0.63500000000000001</v>
      </c>
      <c r="C44" s="27">
        <v>0.45</v>
      </c>
      <c r="D44" s="27"/>
      <c r="E44" s="27"/>
      <c r="F44" s="27" t="s">
        <v>74</v>
      </c>
      <c r="G44" s="27">
        <v>0.66</v>
      </c>
      <c r="H44" s="27">
        <v>0</v>
      </c>
      <c r="I44" s="27"/>
      <c r="N44" s="149">
        <v>0</v>
      </c>
      <c r="O44" s="149">
        <v>0.5</v>
      </c>
      <c r="P44" s="149">
        <f t="shared" si="0"/>
        <v>0.5</v>
      </c>
      <c r="Q44" s="150">
        <f t="shared" si="1"/>
        <v>0.5</v>
      </c>
      <c r="R44" s="150">
        <f t="shared" si="2"/>
        <v>0</v>
      </c>
    </row>
    <row r="45" spans="1:18" ht="18" x14ac:dyDescent="0.25">
      <c r="A45" s="27"/>
      <c r="B45" s="27">
        <v>0.75</v>
      </c>
      <c r="C45" s="27">
        <v>0.43</v>
      </c>
      <c r="D45" s="27"/>
      <c r="E45" s="27"/>
      <c r="F45" s="27"/>
      <c r="G45" s="27">
        <v>0.66</v>
      </c>
      <c r="H45" s="27">
        <v>8.6999999999999994E-2</v>
      </c>
      <c r="I45" s="27"/>
      <c r="N45" s="149">
        <v>0.5</v>
      </c>
      <c r="O45" s="149">
        <v>0</v>
      </c>
      <c r="P45" s="149">
        <f t="shared" si="0"/>
        <v>0.5</v>
      </c>
      <c r="Q45" s="150">
        <f t="shared" si="1"/>
        <v>0.25</v>
      </c>
      <c r="R45" s="150">
        <f t="shared" si="2"/>
        <v>0.43301250000000002</v>
      </c>
    </row>
    <row r="46" spans="1:18" ht="18" x14ac:dyDescent="0.25">
      <c r="N46" s="149">
        <v>0.4</v>
      </c>
      <c r="O46" s="149">
        <v>0</v>
      </c>
      <c r="P46" s="149">
        <f t="shared" si="0"/>
        <v>0.6</v>
      </c>
      <c r="Q46" s="150">
        <f t="shared" si="1"/>
        <v>0.2</v>
      </c>
      <c r="R46" s="150">
        <f t="shared" si="2"/>
        <v>0.34641000000000005</v>
      </c>
    </row>
    <row r="47" spans="1:18" ht="18" x14ac:dyDescent="0.25">
      <c r="A47" s="28" t="s">
        <v>29</v>
      </c>
      <c r="B47">
        <v>0</v>
      </c>
      <c r="C47">
        <v>0</v>
      </c>
      <c r="F47" s="28" t="s">
        <v>44</v>
      </c>
      <c r="G47" s="123">
        <f>MBA!M79+MBA!L79/2</f>
        <v>0.97440537745604971</v>
      </c>
      <c r="H47" s="123">
        <f>MBA!L79*0.866025</f>
        <v>4.4331165977249225E-2</v>
      </c>
      <c r="N47" s="149">
        <v>0</v>
      </c>
      <c r="O47" s="149">
        <v>0.4</v>
      </c>
      <c r="P47" s="149">
        <f t="shared" si="0"/>
        <v>0.6</v>
      </c>
      <c r="Q47" s="150">
        <f t="shared" si="1"/>
        <v>0.4</v>
      </c>
      <c r="R47" s="150">
        <f t="shared" si="2"/>
        <v>0</v>
      </c>
    </row>
    <row r="48" spans="1:18" ht="18" x14ac:dyDescent="0.25">
      <c r="B48">
        <v>1</v>
      </c>
      <c r="C48">
        <v>0</v>
      </c>
      <c r="N48" s="149">
        <v>0</v>
      </c>
      <c r="O48" s="149">
        <v>0.3</v>
      </c>
      <c r="P48" s="149">
        <f t="shared" si="0"/>
        <v>0.7</v>
      </c>
      <c r="Q48" s="150">
        <f t="shared" si="1"/>
        <v>0.3</v>
      </c>
      <c r="R48" s="150">
        <f t="shared" si="2"/>
        <v>0</v>
      </c>
    </row>
    <row r="49" spans="1:18" ht="18" x14ac:dyDescent="0.25">
      <c r="B49">
        <v>0.5</v>
      </c>
      <c r="C49">
        <v>0.86602500000000004</v>
      </c>
      <c r="N49" s="149">
        <v>0.3</v>
      </c>
      <c r="O49" s="149">
        <v>0</v>
      </c>
      <c r="P49" s="149">
        <f t="shared" si="0"/>
        <v>0.7</v>
      </c>
      <c r="Q49" s="150">
        <f t="shared" si="1"/>
        <v>0.15</v>
      </c>
      <c r="R49" s="150">
        <f t="shared" si="2"/>
        <v>0.25980750000000002</v>
      </c>
    </row>
    <row r="50" spans="1:18" ht="18" x14ac:dyDescent="0.25">
      <c r="B50">
        <v>0</v>
      </c>
      <c r="C50">
        <v>0</v>
      </c>
      <c r="N50" s="149">
        <v>0.2</v>
      </c>
      <c r="O50" s="149">
        <v>0</v>
      </c>
      <c r="P50" s="149">
        <f t="shared" si="0"/>
        <v>0.8</v>
      </c>
      <c r="Q50" s="150">
        <f t="shared" si="1"/>
        <v>0.1</v>
      </c>
      <c r="R50" s="150">
        <f t="shared" si="2"/>
        <v>0.17320500000000003</v>
      </c>
    </row>
    <row r="51" spans="1:18" ht="18" x14ac:dyDescent="0.25">
      <c r="N51" s="149">
        <v>0</v>
      </c>
      <c r="O51" s="149">
        <v>0.2</v>
      </c>
      <c r="P51" s="149">
        <f t="shared" si="0"/>
        <v>0.8</v>
      </c>
      <c r="Q51" s="150">
        <f t="shared" si="1"/>
        <v>0.2</v>
      </c>
      <c r="R51" s="150">
        <f t="shared" si="2"/>
        <v>0</v>
      </c>
    </row>
    <row r="52" spans="1:18" ht="18" x14ac:dyDescent="0.25">
      <c r="A52" s="361" t="s">
        <v>75</v>
      </c>
      <c r="B52" s="361"/>
      <c r="N52" s="149">
        <v>0</v>
      </c>
      <c r="O52" s="149">
        <v>0.1</v>
      </c>
      <c r="P52" s="149">
        <f t="shared" si="0"/>
        <v>0.9</v>
      </c>
      <c r="Q52" s="150">
        <f t="shared" si="1"/>
        <v>0.1</v>
      </c>
      <c r="R52" s="150">
        <f t="shared" si="2"/>
        <v>0</v>
      </c>
    </row>
    <row r="53" spans="1:18" ht="18" x14ac:dyDescent="0.25">
      <c r="N53" s="149">
        <v>0</v>
      </c>
      <c r="O53" s="149">
        <v>0.1</v>
      </c>
      <c r="P53" s="149">
        <f t="shared" si="0"/>
        <v>0.9</v>
      </c>
      <c r="Q53" s="150">
        <f t="shared" si="1"/>
        <v>0.1</v>
      </c>
      <c r="R53" s="150">
        <f t="shared" si="2"/>
        <v>0</v>
      </c>
    </row>
    <row r="54" spans="1:18" ht="18" x14ac:dyDescent="0.25">
      <c r="A54" s="5"/>
      <c r="B54" s="29" t="s">
        <v>76</v>
      </c>
      <c r="C54" s="29" t="s">
        <v>77</v>
      </c>
      <c r="D54" s="5"/>
      <c r="E54" s="5"/>
      <c r="F54" s="5"/>
      <c r="G54" s="29" t="s">
        <v>78</v>
      </c>
      <c r="H54" s="29" t="s">
        <v>77</v>
      </c>
      <c r="I54" s="113" t="s">
        <v>77</v>
      </c>
      <c r="J54" s="176">
        <f>MBA!E10/MBA!C10</f>
        <v>0</v>
      </c>
      <c r="L54" s="113" t="s">
        <v>77</v>
      </c>
      <c r="M54" s="176">
        <f>J54</f>
        <v>0</v>
      </c>
      <c r="N54" s="149">
        <v>0.1</v>
      </c>
      <c r="O54" s="149">
        <v>0</v>
      </c>
      <c r="P54" s="149">
        <f t="shared" si="0"/>
        <v>0.9</v>
      </c>
      <c r="Q54" s="150">
        <f>O54+N54/2</f>
        <v>0.05</v>
      </c>
      <c r="R54" s="150">
        <f>N54*0.866025</f>
        <v>8.6602500000000013E-2</v>
      </c>
    </row>
    <row r="55" spans="1:18" ht="15.75" x14ac:dyDescent="0.25">
      <c r="A55" s="5" t="s">
        <v>44</v>
      </c>
      <c r="B55" s="30">
        <f>MBA!$B$10/MBA!$A$10</f>
        <v>7.8787878787878789</v>
      </c>
      <c r="C55" s="30">
        <f>MBA!$E$10/MBA!$C$10</f>
        <v>0</v>
      </c>
      <c r="D55" s="5"/>
      <c r="E55" s="5"/>
      <c r="F55" s="5" t="s">
        <v>44</v>
      </c>
      <c r="G55" s="30">
        <f>MBA!$C$10/MBA!$D$10</f>
        <v>2.9513108614232211</v>
      </c>
      <c r="H55" s="30">
        <f>MBA!$E$10/MBA!$C$10</f>
        <v>0</v>
      </c>
      <c r="I55" s="113" t="s">
        <v>76</v>
      </c>
      <c r="J55" s="176">
        <f>MBA!B10/MBA!A10</f>
        <v>7.8787878787878789</v>
      </c>
      <c r="L55" s="113" t="s">
        <v>78</v>
      </c>
      <c r="M55" s="176">
        <f>MBA!C10/MBA!D10</f>
        <v>2.9513108614232211</v>
      </c>
    </row>
    <row r="56" spans="1:18" ht="15.75" x14ac:dyDescent="0.25">
      <c r="A56" s="5"/>
      <c r="B56" s="31" t="s">
        <v>79</v>
      </c>
      <c r="C56" s="31" t="s">
        <v>80</v>
      </c>
      <c r="D56" s="5"/>
      <c r="E56" s="5"/>
      <c r="F56" s="5"/>
      <c r="G56" s="32" t="s">
        <v>79</v>
      </c>
      <c r="H56" s="31" t="s">
        <v>80</v>
      </c>
      <c r="I56" s="31"/>
    </row>
    <row r="57" spans="1:18" ht="15.75" x14ac:dyDescent="0.25">
      <c r="A57" s="5" t="s">
        <v>46</v>
      </c>
      <c r="B57" s="237">
        <v>1.0000000000000001E-5</v>
      </c>
      <c r="C57" s="237">
        <v>0.01</v>
      </c>
      <c r="D57" s="5"/>
      <c r="E57" s="5"/>
      <c r="F57" s="5" t="s">
        <v>46</v>
      </c>
      <c r="G57" s="237">
        <v>1.0000000000000001E-5</v>
      </c>
      <c r="H57" s="237">
        <v>100</v>
      </c>
      <c r="I57" s="116">
        <v>1</v>
      </c>
      <c r="J57" s="115" t="str">
        <f>IF(AND(J54&lt;0.01,J55&lt;0.1),"PD","")</f>
        <v/>
      </c>
      <c r="L57">
        <v>1</v>
      </c>
      <c r="M57" t="str">
        <f>IF(AND(M54&lt;=0.01,M55&lt;=0.2),"PD+T1","")</f>
        <v/>
      </c>
    </row>
    <row r="58" spans="1:18" ht="15.75" x14ac:dyDescent="0.25">
      <c r="A58" s="5"/>
      <c r="B58" s="237">
        <v>0.1</v>
      </c>
      <c r="C58" s="237">
        <v>0.01</v>
      </c>
      <c r="D58" s="5"/>
      <c r="E58" s="5"/>
      <c r="F58" s="5"/>
      <c r="G58" s="237">
        <v>1000</v>
      </c>
      <c r="H58" s="237">
        <v>100</v>
      </c>
      <c r="I58" s="116">
        <v>2</v>
      </c>
      <c r="J58" s="115" t="str">
        <f>IF(AND(J54&lt;=0.01,J55&gt;=1),"T1","")</f>
        <v>T1</v>
      </c>
      <c r="L58">
        <v>2</v>
      </c>
      <c r="M58" t="str">
        <f>IF(AND(M54&lt;=0.01,M55&gt;0.2,M55&lt;=1),"T1","")</f>
        <v/>
      </c>
    </row>
    <row r="59" spans="1:18" ht="15.75" x14ac:dyDescent="0.25">
      <c r="A59" s="5" t="s">
        <v>47</v>
      </c>
      <c r="B59" s="237">
        <v>0.1</v>
      </c>
      <c r="C59" s="237">
        <v>1.0000000000000001E-5</v>
      </c>
      <c r="D59" s="5"/>
      <c r="E59" s="5"/>
      <c r="F59" s="5" t="s">
        <v>47</v>
      </c>
      <c r="G59" s="237">
        <v>1.0000000000000001E-5</v>
      </c>
      <c r="H59" s="237">
        <v>0.01</v>
      </c>
      <c r="I59" s="117">
        <v>3</v>
      </c>
      <c r="J59" t="str">
        <f>IF(AND(J54&gt;0.01,J54&lt;=0.1,J55&gt;=1),"T2","")</f>
        <v/>
      </c>
      <c r="L59">
        <v>3</v>
      </c>
      <c r="M59" t="str">
        <f>IF(AND(M54&lt;=0.1,M55&gt;1,M55&lt;4),"T2","")</f>
        <v>T2</v>
      </c>
    </row>
    <row r="60" spans="1:18" ht="15.75" x14ac:dyDescent="0.25">
      <c r="A60" s="5"/>
      <c r="B60" s="237">
        <v>0.1</v>
      </c>
      <c r="C60" s="237">
        <v>0.01</v>
      </c>
      <c r="D60" s="5"/>
      <c r="E60" s="5"/>
      <c r="F60" s="5"/>
      <c r="G60" s="237">
        <v>1</v>
      </c>
      <c r="H60" s="237">
        <v>0.01</v>
      </c>
      <c r="I60" s="117">
        <v>4</v>
      </c>
      <c r="J60" t="str">
        <f>IF(AND(J54&gt;=1,J54&lt;=0.1,J55&gt;=1),"T3","")</f>
        <v/>
      </c>
      <c r="L60">
        <v>4</v>
      </c>
      <c r="M60" t="str">
        <f>IF(AND(M54&lt;=0.2,M55&gt;4),"T3","")</f>
        <v/>
      </c>
    </row>
    <row r="61" spans="1:18" ht="15.75" x14ac:dyDescent="0.25">
      <c r="A61" s="5" t="s">
        <v>53</v>
      </c>
      <c r="B61" s="237">
        <v>0.1</v>
      </c>
      <c r="C61" s="237">
        <v>0.6</v>
      </c>
      <c r="D61" s="5"/>
      <c r="E61" s="5"/>
      <c r="F61" s="5" t="s">
        <v>53</v>
      </c>
      <c r="G61" s="237">
        <v>0.2</v>
      </c>
      <c r="H61" s="237">
        <v>1.0000000000000001E-5</v>
      </c>
      <c r="I61" s="117">
        <v>5</v>
      </c>
      <c r="J61" t="str">
        <f>IF(AND(J54&gt;2.5,J55&gt;0.1,J55&lt;=0.5),"D1","")</f>
        <v/>
      </c>
      <c r="L61">
        <v>5</v>
      </c>
      <c r="M61" t="str">
        <f>IF(AND(M54&gt;=0.6,M54&lt;1,M55&gt;2),"D2","")</f>
        <v/>
      </c>
    </row>
    <row r="62" spans="1:18" ht="15.75" x14ac:dyDescent="0.25">
      <c r="A62" s="5"/>
      <c r="B62" s="237">
        <v>0.1</v>
      </c>
      <c r="C62" s="237">
        <v>100</v>
      </c>
      <c r="D62" s="5"/>
      <c r="E62" s="5"/>
      <c r="F62" s="5"/>
      <c r="G62" s="237">
        <v>0.2</v>
      </c>
      <c r="H62" s="237">
        <v>0.01</v>
      </c>
      <c r="I62" s="117">
        <v>6</v>
      </c>
      <c r="J62" t="str">
        <f>IF(AND(J54&gt;=1,J54&lt;=2.5,J55&lt;0.5),"D1+D2","")</f>
        <v/>
      </c>
      <c r="L62">
        <v>6</v>
      </c>
      <c r="M62" t="str">
        <f>IF(AND(M54&gt;=1,M54&lt;=2.5,M55&gt;2),"D1+D2","")</f>
        <v/>
      </c>
    </row>
    <row r="63" spans="1:18" ht="15.75" x14ac:dyDescent="0.25">
      <c r="A63" s="5" t="s">
        <v>48</v>
      </c>
      <c r="B63" s="237">
        <v>0.5</v>
      </c>
      <c r="C63" s="237">
        <v>1</v>
      </c>
      <c r="D63" s="5"/>
      <c r="E63" s="5"/>
      <c r="F63" s="5" t="s">
        <v>48</v>
      </c>
      <c r="G63" s="237">
        <v>1</v>
      </c>
      <c r="H63" s="237">
        <v>1.0000000000000001E-5</v>
      </c>
      <c r="I63" s="117">
        <v>7</v>
      </c>
      <c r="J63" t="str">
        <f>IF(OR(AND(J54&gt;0.6,J54&lt;1,J55&gt;0.1,J55&lt;=1),AND(J54&gt;1,J54&lt;2.5,J55&gt;0.5,J55&lt;1)),"D2","")</f>
        <v/>
      </c>
      <c r="L63">
        <v>7</v>
      </c>
      <c r="M63" t="str">
        <f>IF(OR(AND(M54&gt;2.5,M55&gt;1),AND(M54&gt;1,M54&lt;2.5,M55&gt;1,M55&lt;2)),"D1","")</f>
        <v/>
      </c>
    </row>
    <row r="64" spans="1:18" ht="15.75" x14ac:dyDescent="0.25">
      <c r="A64" s="5"/>
      <c r="B64" s="237">
        <v>0.5</v>
      </c>
      <c r="C64" s="237">
        <v>100</v>
      </c>
      <c r="D64" s="5"/>
      <c r="E64" s="5"/>
      <c r="F64" s="5"/>
      <c r="G64" s="237">
        <v>1</v>
      </c>
      <c r="H64" s="237">
        <v>0.1</v>
      </c>
      <c r="I64" s="117"/>
    </row>
    <row r="65" spans="1:13" ht="15.75" x14ac:dyDescent="0.25">
      <c r="A65" s="5" t="s">
        <v>49</v>
      </c>
      <c r="B65" s="237">
        <v>0.1</v>
      </c>
      <c r="C65" s="237">
        <v>0.6</v>
      </c>
      <c r="D65" s="5"/>
      <c r="E65" s="5"/>
      <c r="F65" s="5" t="s">
        <v>49</v>
      </c>
      <c r="G65" s="237">
        <v>1</v>
      </c>
      <c r="H65" s="237">
        <v>1</v>
      </c>
      <c r="I65" s="117"/>
      <c r="J65" s="112" t="str">
        <f t="array" ref="J65">INDEX(KETQUA2,MATCH(MAX(LEN(KETQUA2)),LEN(KETQUA2),FALSE),1)</f>
        <v>T1</v>
      </c>
      <c r="M65" s="112" t="str">
        <f t="array" ref="M65">INDEX(KETQUA3,MATCH(MAX(LEN(KETQUA3)),LEN(KETQUA3),FALSE),1)</f>
        <v>T2</v>
      </c>
    </row>
    <row r="66" spans="1:13" ht="15.75" x14ac:dyDescent="0.25">
      <c r="A66" s="5"/>
      <c r="B66" s="237">
        <v>1</v>
      </c>
      <c r="C66" s="237">
        <v>0.6</v>
      </c>
      <c r="D66" s="5"/>
      <c r="E66" s="5"/>
      <c r="F66" s="5"/>
      <c r="G66" s="237">
        <v>1</v>
      </c>
      <c r="H66" s="237">
        <v>100</v>
      </c>
      <c r="I66" s="117"/>
      <c r="J66" s="5"/>
    </row>
    <row r="67" spans="1:13" ht="15.75" x14ac:dyDescent="0.25">
      <c r="A67" s="5" t="s">
        <v>50</v>
      </c>
      <c r="B67" s="237">
        <v>0.1</v>
      </c>
      <c r="C67" s="237">
        <v>1</v>
      </c>
      <c r="D67" s="5"/>
      <c r="E67" s="5"/>
      <c r="F67" s="5" t="s">
        <v>50</v>
      </c>
      <c r="G67" s="237">
        <v>2</v>
      </c>
      <c r="H67" s="237">
        <v>0.6</v>
      </c>
      <c r="I67" s="117"/>
    </row>
    <row r="68" spans="1:13" ht="15.75" x14ac:dyDescent="0.25">
      <c r="A68" s="5"/>
      <c r="B68" s="237">
        <v>0.5</v>
      </c>
      <c r="C68" s="237">
        <v>1</v>
      </c>
      <c r="D68" s="5"/>
      <c r="E68" s="5"/>
      <c r="F68" s="5"/>
      <c r="G68" s="237">
        <v>2</v>
      </c>
      <c r="H68" s="237">
        <v>2.5</v>
      </c>
      <c r="I68" s="30"/>
    </row>
    <row r="69" spans="1:13" ht="15.75" x14ac:dyDescent="0.25">
      <c r="A69" s="5" t="s">
        <v>51</v>
      </c>
      <c r="B69" s="237">
        <v>1</v>
      </c>
      <c r="C69" s="237">
        <v>1.0000000000000001E-5</v>
      </c>
      <c r="D69" s="5"/>
      <c r="E69" s="5"/>
      <c r="F69" s="5" t="s">
        <v>51</v>
      </c>
      <c r="G69" s="237">
        <v>4</v>
      </c>
      <c r="H69" s="237">
        <v>1.0000000000000001E-5</v>
      </c>
      <c r="I69" s="30"/>
    </row>
    <row r="70" spans="1:13" ht="15.75" x14ac:dyDescent="0.25">
      <c r="A70" s="5"/>
      <c r="B70" s="237">
        <v>1</v>
      </c>
      <c r="C70" s="237">
        <v>0.2</v>
      </c>
      <c r="D70" s="5"/>
      <c r="E70" s="5"/>
      <c r="F70" s="5"/>
      <c r="G70" s="237">
        <v>4</v>
      </c>
      <c r="H70" s="237">
        <v>0.2</v>
      </c>
      <c r="I70" s="30"/>
    </row>
    <row r="71" spans="1:13" ht="15.75" x14ac:dyDescent="0.25">
      <c r="A71" s="5" t="s">
        <v>52</v>
      </c>
      <c r="B71" s="237">
        <v>1</v>
      </c>
      <c r="C71" s="237">
        <v>0.01</v>
      </c>
      <c r="D71" s="5"/>
      <c r="E71" s="5"/>
      <c r="F71" s="5" t="s">
        <v>52</v>
      </c>
      <c r="G71" s="237">
        <v>1</v>
      </c>
      <c r="H71" s="237">
        <v>0.1</v>
      </c>
      <c r="I71" s="30"/>
    </row>
    <row r="72" spans="1:13" ht="15.75" x14ac:dyDescent="0.25">
      <c r="A72" s="5"/>
      <c r="B72" s="237">
        <v>100</v>
      </c>
      <c r="C72" s="237">
        <v>0.01</v>
      </c>
      <c r="D72" s="5"/>
      <c r="E72" s="5"/>
      <c r="F72" s="5"/>
      <c r="G72" s="237">
        <v>4</v>
      </c>
      <c r="H72" s="237">
        <v>0.1</v>
      </c>
      <c r="I72" s="30"/>
    </row>
    <row r="73" spans="1:13" ht="15.75" x14ac:dyDescent="0.25">
      <c r="A73" s="5" t="s">
        <v>81</v>
      </c>
      <c r="B73" s="237">
        <v>1</v>
      </c>
      <c r="C73" s="237">
        <v>0.1</v>
      </c>
      <c r="D73" s="5"/>
      <c r="E73" s="5"/>
      <c r="F73" s="5" t="s">
        <v>81</v>
      </c>
      <c r="G73" s="237">
        <v>4</v>
      </c>
      <c r="H73" s="237">
        <v>0.2</v>
      </c>
      <c r="I73" s="30"/>
    </row>
    <row r="74" spans="1:13" ht="15.75" x14ac:dyDescent="0.25">
      <c r="A74" s="5"/>
      <c r="B74" s="237">
        <v>100</v>
      </c>
      <c r="C74" s="237">
        <v>0.1</v>
      </c>
      <c r="D74" s="5"/>
      <c r="E74" s="5"/>
      <c r="F74" s="5"/>
      <c r="G74" s="237">
        <v>1000</v>
      </c>
      <c r="H74" s="237">
        <v>0.2</v>
      </c>
      <c r="I74" s="30"/>
    </row>
    <row r="75" spans="1:13" ht="15.75" x14ac:dyDescent="0.25">
      <c r="A75" s="5" t="s">
        <v>68</v>
      </c>
      <c r="B75" s="237">
        <v>1</v>
      </c>
      <c r="C75" s="237">
        <v>0.2</v>
      </c>
      <c r="D75" s="5"/>
      <c r="E75" s="5"/>
      <c r="F75" s="5" t="s">
        <v>68</v>
      </c>
      <c r="G75" s="237">
        <v>2</v>
      </c>
      <c r="H75" s="237">
        <v>0.6</v>
      </c>
      <c r="I75" s="30"/>
    </row>
    <row r="76" spans="1:13" ht="15.75" x14ac:dyDescent="0.25">
      <c r="A76" s="5"/>
      <c r="B76" s="237">
        <v>100</v>
      </c>
      <c r="C76" s="237">
        <v>0.2</v>
      </c>
      <c r="D76" s="5"/>
      <c r="E76" s="5"/>
      <c r="F76" s="5"/>
      <c r="G76" s="237">
        <v>1000</v>
      </c>
      <c r="H76" s="237">
        <v>0.6</v>
      </c>
      <c r="I76" s="30"/>
    </row>
    <row r="77" spans="1:13" ht="15.75" x14ac:dyDescent="0.25">
      <c r="A77" s="5" t="s">
        <v>69</v>
      </c>
      <c r="B77" s="237">
        <v>0.1</v>
      </c>
      <c r="C77" s="237">
        <v>1E-3</v>
      </c>
      <c r="D77" s="5"/>
      <c r="E77" s="5"/>
      <c r="F77" s="5" t="s">
        <v>69</v>
      </c>
      <c r="G77" s="237">
        <v>1</v>
      </c>
      <c r="H77" s="237">
        <v>1</v>
      </c>
      <c r="I77" s="30"/>
    </row>
    <row r="78" spans="1:13" ht="15.75" x14ac:dyDescent="0.25">
      <c r="A78" s="5"/>
      <c r="B78" s="237">
        <v>0.1</v>
      </c>
      <c r="C78" s="237">
        <v>0.01</v>
      </c>
      <c r="D78" s="5"/>
      <c r="E78" s="5"/>
      <c r="F78" s="5"/>
      <c r="G78" s="237">
        <v>1000</v>
      </c>
      <c r="H78" s="237">
        <v>1</v>
      </c>
      <c r="I78" s="30"/>
    </row>
    <row r="79" spans="1:13" ht="15.75" x14ac:dyDescent="0.25">
      <c r="A79" s="5" t="s">
        <v>70</v>
      </c>
      <c r="B79" s="237">
        <v>1</v>
      </c>
      <c r="C79" s="237">
        <v>0.2</v>
      </c>
      <c r="D79" s="5"/>
      <c r="E79" s="5"/>
      <c r="F79" s="5" t="s">
        <v>70</v>
      </c>
      <c r="G79" s="237">
        <v>2</v>
      </c>
      <c r="H79" s="237">
        <v>2.5</v>
      </c>
      <c r="I79" s="30"/>
    </row>
    <row r="80" spans="1:13" ht="15.75" x14ac:dyDescent="0.25">
      <c r="A80" s="5"/>
      <c r="B80" s="237">
        <v>100</v>
      </c>
      <c r="C80" s="237">
        <v>0.2</v>
      </c>
      <c r="D80" s="5"/>
      <c r="E80" s="5"/>
      <c r="F80" s="5"/>
      <c r="G80" s="237">
        <v>1000</v>
      </c>
      <c r="H80" s="237">
        <v>2.5</v>
      </c>
      <c r="I80" s="30"/>
    </row>
    <row r="81" spans="1:13" ht="15.75" x14ac:dyDescent="0.25">
      <c r="A81" s="5" t="s">
        <v>71</v>
      </c>
      <c r="B81" s="237">
        <v>1</v>
      </c>
      <c r="C81" s="237">
        <v>0.2</v>
      </c>
      <c r="D81" s="5"/>
      <c r="E81" s="5"/>
      <c r="F81" s="5" t="s">
        <v>71</v>
      </c>
      <c r="G81" s="237">
        <v>1000</v>
      </c>
      <c r="H81" s="237">
        <v>1E-3</v>
      </c>
      <c r="I81" s="30"/>
    </row>
    <row r="82" spans="1:13" ht="15.75" x14ac:dyDescent="0.25">
      <c r="A82" s="5"/>
      <c r="B82" s="237">
        <v>100</v>
      </c>
      <c r="C82" s="237">
        <v>0.2</v>
      </c>
      <c r="D82" s="5"/>
      <c r="E82" s="5"/>
      <c r="F82" s="5"/>
      <c r="G82" s="237">
        <v>1000</v>
      </c>
      <c r="H82" s="237">
        <v>100</v>
      </c>
      <c r="I82" s="30"/>
    </row>
    <row r="83" spans="1:13" ht="15.75" x14ac:dyDescent="0.25">
      <c r="A83" s="5" t="s">
        <v>72</v>
      </c>
      <c r="B83" s="237">
        <v>0.1</v>
      </c>
      <c r="C83" s="237">
        <v>2.5</v>
      </c>
      <c r="D83" s="5"/>
      <c r="E83" s="5"/>
      <c r="F83" s="5" t="s">
        <v>72</v>
      </c>
      <c r="G83" s="237">
        <v>0.2</v>
      </c>
      <c r="H83" s="237">
        <v>1.0000000000000001E-5</v>
      </c>
      <c r="I83" s="30"/>
    </row>
    <row r="84" spans="1:13" ht="15.75" x14ac:dyDescent="0.25">
      <c r="A84" s="5"/>
      <c r="B84" s="237">
        <v>1</v>
      </c>
      <c r="C84" s="237">
        <v>2.5</v>
      </c>
      <c r="D84" s="5"/>
      <c r="E84" s="5"/>
      <c r="F84" s="5"/>
      <c r="G84" s="237">
        <v>0.2</v>
      </c>
      <c r="H84" s="237">
        <v>0.01</v>
      </c>
      <c r="I84" s="30"/>
    </row>
    <row r="85" spans="1:13" ht="15.75" x14ac:dyDescent="0.25">
      <c r="A85" s="5" t="s">
        <v>73</v>
      </c>
      <c r="B85" s="237">
        <v>1</v>
      </c>
      <c r="C85" s="237">
        <v>0.6</v>
      </c>
      <c r="D85" s="5"/>
      <c r="E85" s="5"/>
      <c r="F85" s="5"/>
      <c r="G85" s="5"/>
      <c r="H85" s="5"/>
      <c r="I85" s="5"/>
    </row>
    <row r="86" spans="1:13" ht="15.75" x14ac:dyDescent="0.25">
      <c r="A86" s="5"/>
      <c r="B86" s="237">
        <v>1</v>
      </c>
      <c r="C86" s="237">
        <v>2.5</v>
      </c>
      <c r="D86" s="5"/>
      <c r="E86" s="5"/>
      <c r="F86" s="5"/>
      <c r="G86" s="5"/>
      <c r="H86" s="5"/>
      <c r="I86" s="5"/>
    </row>
    <row r="87" spans="1:13" ht="15.75" x14ac:dyDescent="0.25">
      <c r="A87" s="5" t="s">
        <v>74</v>
      </c>
      <c r="B87" s="237">
        <v>0</v>
      </c>
      <c r="C87" s="237">
        <v>10</v>
      </c>
      <c r="D87" s="5"/>
      <c r="E87" s="5"/>
      <c r="F87" s="5"/>
      <c r="G87" s="5"/>
      <c r="H87" s="5"/>
      <c r="I87" s="5"/>
    </row>
    <row r="88" spans="1:13" ht="15.75" x14ac:dyDescent="0.25">
      <c r="A88" s="5"/>
      <c r="B88" s="237">
        <v>100</v>
      </c>
      <c r="C88" s="237">
        <v>100</v>
      </c>
      <c r="D88" s="5"/>
      <c r="E88" s="5"/>
      <c r="F88" s="5"/>
      <c r="G88" s="5"/>
      <c r="H88" s="5"/>
      <c r="I88" s="5"/>
    </row>
    <row r="89" spans="1:13" ht="15.75" x14ac:dyDescent="0.25">
      <c r="A89" s="5" t="s">
        <v>82</v>
      </c>
      <c r="B89" s="237">
        <v>100</v>
      </c>
      <c r="C89" s="237">
        <v>1E-3</v>
      </c>
      <c r="D89" s="5"/>
      <c r="E89" s="5"/>
      <c r="F89" s="5"/>
      <c r="G89" s="5"/>
      <c r="H89" s="5"/>
      <c r="I89" s="5"/>
    </row>
    <row r="90" spans="1:13" ht="15.75" x14ac:dyDescent="0.25">
      <c r="A90" s="5"/>
      <c r="B90" s="237">
        <v>100</v>
      </c>
      <c r="C90" s="237">
        <v>100</v>
      </c>
      <c r="D90" s="5"/>
      <c r="E90" s="5"/>
      <c r="F90" s="5"/>
      <c r="G90" s="33"/>
      <c r="H90" s="33"/>
      <c r="I90" s="33"/>
    </row>
    <row r="92" spans="1:13" ht="18" x14ac:dyDescent="0.25">
      <c r="A92" s="361" t="s">
        <v>83</v>
      </c>
      <c r="B92" s="362"/>
      <c r="C92" s="216"/>
      <c r="D92" s="25"/>
      <c r="E92" s="217"/>
      <c r="J92" t="s">
        <v>131</v>
      </c>
    </row>
    <row r="93" spans="1:13" x14ac:dyDescent="0.2">
      <c r="C93" s="77"/>
      <c r="D93" s="77"/>
      <c r="E93" s="392" t="s">
        <v>84</v>
      </c>
      <c r="F93" s="393"/>
      <c r="G93" s="393"/>
      <c r="H93" s="394"/>
      <c r="I93" s="94"/>
      <c r="J93">
        <f>MATCH(J92,J95:J98,0)</f>
        <v>4</v>
      </c>
    </row>
    <row r="94" spans="1:13" ht="15.75" x14ac:dyDescent="0.25">
      <c r="A94" s="59"/>
      <c r="B94" s="82" t="s">
        <v>115</v>
      </c>
      <c r="C94" s="99" t="str">
        <f ca="1">OFFSET(D94,0,$J$93)</f>
        <v>Chuan4</v>
      </c>
      <c r="E94" s="80" t="s">
        <v>128</v>
      </c>
      <c r="F94" s="82" t="s">
        <v>129</v>
      </c>
      <c r="G94" s="59" t="s">
        <v>130</v>
      </c>
      <c r="H94" s="68" t="s">
        <v>131</v>
      </c>
      <c r="I94" s="36"/>
      <c r="J94" s="61"/>
      <c r="K94" s="63"/>
    </row>
    <row r="95" spans="1:13" ht="18.75" x14ac:dyDescent="0.3">
      <c r="A95" s="85" t="s">
        <v>7</v>
      </c>
      <c r="B95" s="88">
        <f>100*MBA!F10/MBA!H10</f>
        <v>9.1165413533834592</v>
      </c>
      <c r="C95" s="99">
        <f t="shared" ref="C95:C100" ca="1" si="3">OFFSET(D95,0,$J$93)</f>
        <v>0</v>
      </c>
      <c r="E95" s="76">
        <v>0</v>
      </c>
      <c r="F95" s="83">
        <v>92</v>
      </c>
      <c r="G95" s="83">
        <v>0</v>
      </c>
      <c r="H95" s="78">
        <v>0</v>
      </c>
      <c r="I95" s="95"/>
      <c r="J95" s="199" t="s">
        <v>128</v>
      </c>
      <c r="K95" s="395" t="s">
        <v>116</v>
      </c>
      <c r="L95" s="395"/>
      <c r="M95" s="395"/>
    </row>
    <row r="96" spans="1:13" ht="18.75" x14ac:dyDescent="0.3">
      <c r="A96" s="85" t="s">
        <v>2</v>
      </c>
      <c r="B96" s="88">
        <f>100*MBA!A10/MBA!H10</f>
        <v>4.6522556390977448</v>
      </c>
      <c r="C96" s="99">
        <f t="shared" ca="1" si="3"/>
        <v>60</v>
      </c>
      <c r="E96" s="76">
        <v>2</v>
      </c>
      <c r="F96" s="83">
        <v>0</v>
      </c>
      <c r="G96" s="83">
        <v>85</v>
      </c>
      <c r="H96" s="78">
        <v>60</v>
      </c>
      <c r="I96" s="95"/>
      <c r="J96" s="199" t="s">
        <v>129</v>
      </c>
      <c r="K96" s="395" t="s">
        <v>117</v>
      </c>
      <c r="L96" s="395"/>
      <c r="M96" s="395"/>
    </row>
    <row r="97" spans="1:31" ht="18.75" x14ac:dyDescent="0.3">
      <c r="A97" s="86" t="s">
        <v>3</v>
      </c>
      <c r="B97" s="88">
        <f>100*MBA!B10/MBA!H10</f>
        <v>36.654135338345867</v>
      </c>
      <c r="C97" s="99">
        <f t="shared" ca="1" si="3"/>
        <v>5</v>
      </c>
      <c r="E97" s="76">
        <v>16</v>
      </c>
      <c r="F97" s="83">
        <v>0</v>
      </c>
      <c r="G97" s="83">
        <v>13</v>
      </c>
      <c r="H97" s="78">
        <v>5</v>
      </c>
      <c r="I97" s="95"/>
      <c r="J97" s="199" t="s">
        <v>130</v>
      </c>
      <c r="K97" s="395" t="s">
        <v>33</v>
      </c>
      <c r="L97" s="395"/>
      <c r="M97" s="395"/>
    </row>
    <row r="98" spans="1:31" ht="18.75" x14ac:dyDescent="0.3">
      <c r="A98" s="86" t="s">
        <v>5</v>
      </c>
      <c r="B98" s="88">
        <f>100*MBA!D10/MBA!H10</f>
        <v>12.546992481203008</v>
      </c>
      <c r="C98" s="99">
        <f t="shared" ca="1" si="3"/>
        <v>2</v>
      </c>
      <c r="E98" s="76">
        <v>19</v>
      </c>
      <c r="F98" s="83">
        <v>0</v>
      </c>
      <c r="G98" s="83">
        <v>1</v>
      </c>
      <c r="H98" s="78">
        <v>2</v>
      </c>
      <c r="I98" s="95"/>
      <c r="J98" s="199" t="s">
        <v>131</v>
      </c>
      <c r="K98" s="395" t="s">
        <v>118</v>
      </c>
      <c r="L98" s="395"/>
      <c r="M98" s="395"/>
    </row>
    <row r="99" spans="1:31" ht="15.75" x14ac:dyDescent="0.25">
      <c r="A99" s="86" t="s">
        <v>4</v>
      </c>
      <c r="B99" s="88">
        <f>100*MBA!C10/MBA!H10</f>
        <v>37.030075187969928</v>
      </c>
      <c r="C99" s="99">
        <f t="shared" ca="1" si="3"/>
        <v>3</v>
      </c>
      <c r="E99" s="76">
        <v>63</v>
      </c>
      <c r="F99" s="83">
        <v>0</v>
      </c>
      <c r="G99" s="83">
        <v>1</v>
      </c>
      <c r="H99" s="78">
        <v>3</v>
      </c>
      <c r="I99" s="95"/>
      <c r="J99" s="62"/>
      <c r="K99" s="60"/>
    </row>
    <row r="100" spans="1:31" ht="15.75" x14ac:dyDescent="0.25">
      <c r="A100" s="87" t="s">
        <v>6</v>
      </c>
      <c r="B100" s="89">
        <f>100*MBA!E10/MBA!H10</f>
        <v>0</v>
      </c>
      <c r="C100" s="99">
        <f t="shared" ca="1" si="3"/>
        <v>30</v>
      </c>
      <c r="E100" s="81">
        <v>0</v>
      </c>
      <c r="F100" s="84">
        <v>0</v>
      </c>
      <c r="G100" s="84">
        <v>0</v>
      </c>
      <c r="H100" s="79">
        <v>30</v>
      </c>
      <c r="I100" s="95"/>
      <c r="J100" s="62"/>
      <c r="K100" s="60"/>
    </row>
    <row r="101" spans="1:31" ht="15.75" x14ac:dyDescent="0.25">
      <c r="A101" s="35"/>
      <c r="B101" s="35"/>
      <c r="C101" s="35"/>
      <c r="D101" s="5"/>
      <c r="E101" s="5"/>
      <c r="F101" s="5"/>
      <c r="G101" s="5"/>
      <c r="H101" s="5"/>
      <c r="I101" s="5"/>
      <c r="J101" s="35"/>
      <c r="K101" s="35"/>
    </row>
    <row r="103" spans="1:31" ht="18.75" x14ac:dyDescent="0.3">
      <c r="A103" s="396" t="s">
        <v>85</v>
      </c>
      <c r="B103" s="396"/>
      <c r="C103" s="45"/>
      <c r="D103" s="45"/>
      <c r="E103" s="45"/>
      <c r="F103" s="45"/>
      <c r="G103" s="45"/>
      <c r="H103" s="45"/>
      <c r="I103" s="45"/>
    </row>
    <row r="104" spans="1:31" ht="15.75" x14ac:dyDescent="0.25">
      <c r="A104" s="69"/>
      <c r="B104" s="69"/>
      <c r="C104" s="286" t="str">
        <f>INDEX($B$106:$B$123,MATCH($H$106,$A$106:$A$123,0))</f>
        <v>Phân hủy nhiệt ở nhiệt độ 300&lt;T&lt;700 (T2)</v>
      </c>
      <c r="D104" s="287"/>
      <c r="E104" s="287"/>
      <c r="F104" s="287"/>
      <c r="G104" s="287"/>
      <c r="H104" s="288"/>
      <c r="I104" s="45"/>
    </row>
    <row r="105" spans="1:31" ht="15.75" x14ac:dyDescent="0.25">
      <c r="A105" s="91" t="s">
        <v>135</v>
      </c>
      <c r="B105" s="325" t="s">
        <v>134</v>
      </c>
      <c r="C105" s="326"/>
      <c r="D105" s="326"/>
      <c r="E105" s="326"/>
      <c r="F105" s="326"/>
      <c r="G105" s="327"/>
      <c r="H105" s="93">
        <f>MATCH(H106,A106:A123,0)</f>
        <v>10</v>
      </c>
      <c r="I105" s="96"/>
      <c r="J105" s="91"/>
      <c r="K105" s="91" t="s">
        <v>136</v>
      </c>
      <c r="L105" s="98" t="str">
        <f t="shared" ref="L105:L110" ca="1" si="4">OFFSET(M105,0,$H$105)</f>
        <v>Chuan10</v>
      </c>
      <c r="M105" s="25"/>
      <c r="N105" s="92" t="s">
        <v>128</v>
      </c>
      <c r="O105" s="92" t="s">
        <v>129</v>
      </c>
      <c r="P105" s="92" t="s">
        <v>130</v>
      </c>
      <c r="Q105" s="92" t="s">
        <v>131</v>
      </c>
      <c r="R105" s="92" t="s">
        <v>137</v>
      </c>
      <c r="S105" s="92" t="s">
        <v>138</v>
      </c>
      <c r="T105" s="92" t="s">
        <v>139</v>
      </c>
      <c r="U105" s="92" t="s">
        <v>140</v>
      </c>
      <c r="V105" s="92" t="s">
        <v>141</v>
      </c>
      <c r="W105" s="92" t="s">
        <v>142</v>
      </c>
      <c r="X105" s="92" t="s">
        <v>143</v>
      </c>
      <c r="Y105" s="92" t="s">
        <v>144</v>
      </c>
      <c r="Z105" s="92" t="s">
        <v>145</v>
      </c>
      <c r="AA105" s="92" t="s">
        <v>146</v>
      </c>
      <c r="AB105" s="92" t="s">
        <v>149</v>
      </c>
      <c r="AC105" s="92" t="s">
        <v>148</v>
      </c>
      <c r="AD105" s="92" t="s">
        <v>147</v>
      </c>
      <c r="AE105" s="92" t="s">
        <v>150</v>
      </c>
    </row>
    <row r="106" spans="1:31" ht="15.75" x14ac:dyDescent="0.25">
      <c r="A106" s="91" t="s">
        <v>128</v>
      </c>
      <c r="B106" s="273" t="s">
        <v>252</v>
      </c>
      <c r="C106" s="274"/>
      <c r="D106" s="274"/>
      <c r="E106" s="274"/>
      <c r="F106" s="274"/>
      <c r="G106" s="275"/>
      <c r="H106" s="93" t="s">
        <v>142</v>
      </c>
      <c r="I106" s="96"/>
      <c r="J106" s="91" t="s">
        <v>2</v>
      </c>
      <c r="K106" s="91">
        <f>K113/K118</f>
        <v>0.12563451776649745</v>
      </c>
      <c r="L106" s="98">
        <f t="shared" ca="1" si="4"/>
        <v>0.1</v>
      </c>
      <c r="M106" s="25"/>
      <c r="N106" s="92">
        <v>1</v>
      </c>
      <c r="O106" s="92">
        <v>1</v>
      </c>
      <c r="P106" s="92">
        <v>1</v>
      </c>
      <c r="Q106" s="92">
        <v>1</v>
      </c>
      <c r="R106" s="92">
        <v>1</v>
      </c>
      <c r="S106" s="92">
        <v>0.8</v>
      </c>
      <c r="T106" s="92">
        <v>0.15</v>
      </c>
      <c r="U106" s="92">
        <v>1</v>
      </c>
      <c r="V106" s="92">
        <v>0.5</v>
      </c>
      <c r="W106" s="92">
        <v>0.1</v>
      </c>
      <c r="X106" s="92">
        <v>0.55000000000000004</v>
      </c>
      <c r="Y106" s="92">
        <v>0.05</v>
      </c>
      <c r="Z106" s="92">
        <v>0.05</v>
      </c>
      <c r="AA106" s="92">
        <v>0</v>
      </c>
      <c r="AB106" s="92">
        <v>0.8</v>
      </c>
      <c r="AC106" s="92">
        <v>0.05</v>
      </c>
      <c r="AD106" s="92">
        <v>0.1</v>
      </c>
      <c r="AE106" s="92">
        <v>7.0000000000000007E-2</v>
      </c>
    </row>
    <row r="107" spans="1:31" ht="15.75" x14ac:dyDescent="0.25">
      <c r="A107" s="91" t="s">
        <v>129</v>
      </c>
      <c r="B107" s="273" t="s">
        <v>253</v>
      </c>
      <c r="C107" s="274"/>
      <c r="D107" s="274"/>
      <c r="E107" s="274"/>
      <c r="F107" s="274"/>
      <c r="G107" s="275"/>
      <c r="H107" s="35"/>
      <c r="I107" s="35"/>
      <c r="J107" s="91" t="s">
        <v>3</v>
      </c>
      <c r="K107" s="91">
        <f>K114/K118</f>
        <v>0.98984771573604058</v>
      </c>
      <c r="L107" s="98">
        <f t="shared" ca="1" si="4"/>
        <v>1</v>
      </c>
      <c r="M107" s="25"/>
      <c r="N107" s="92">
        <v>0.4</v>
      </c>
      <c r="O107" s="92">
        <v>0.05</v>
      </c>
      <c r="P107" s="92">
        <v>0.38</v>
      </c>
      <c r="Q107" s="92">
        <v>0.5</v>
      </c>
      <c r="R107" s="92">
        <v>0.25</v>
      </c>
      <c r="S107" s="92">
        <v>0.18</v>
      </c>
      <c r="T107" s="92">
        <v>0.02</v>
      </c>
      <c r="U107" s="92">
        <v>0.08</v>
      </c>
      <c r="V107" s="92">
        <v>1</v>
      </c>
      <c r="W107" s="92">
        <v>1</v>
      </c>
      <c r="X107" s="92">
        <v>1</v>
      </c>
      <c r="Y107" s="92">
        <v>1</v>
      </c>
      <c r="Z107" s="92">
        <v>0.2</v>
      </c>
      <c r="AA107" s="92">
        <v>0.25</v>
      </c>
      <c r="AB107" s="92">
        <v>0.9</v>
      </c>
      <c r="AC107" s="92">
        <v>0.55000000000000004</v>
      </c>
      <c r="AD107" s="92">
        <v>0.6</v>
      </c>
      <c r="AE107" s="92">
        <v>0.24</v>
      </c>
    </row>
    <row r="108" spans="1:31" ht="15.75" x14ac:dyDescent="0.25">
      <c r="A108" s="91" t="s">
        <v>130</v>
      </c>
      <c r="B108" s="273" t="s">
        <v>254</v>
      </c>
      <c r="C108" s="274"/>
      <c r="D108" s="274"/>
      <c r="E108" s="274"/>
      <c r="F108" s="274"/>
      <c r="G108" s="275"/>
      <c r="H108" s="35"/>
      <c r="I108" s="35"/>
      <c r="J108" s="91" t="s">
        <v>5</v>
      </c>
      <c r="K108" s="91">
        <f>K115/K118</f>
        <v>0.67766497461928932</v>
      </c>
      <c r="L108" s="98">
        <f t="shared" ca="1" si="4"/>
        <v>0.15</v>
      </c>
      <c r="M108" s="25"/>
      <c r="N108" s="92">
        <v>0.1</v>
      </c>
      <c r="O108" s="92">
        <v>0.03</v>
      </c>
      <c r="P108" s="92">
        <v>0.33</v>
      </c>
      <c r="Q108" s="92">
        <v>0.1</v>
      </c>
      <c r="R108" s="92">
        <v>0</v>
      </c>
      <c r="S108" s="92">
        <v>0.04</v>
      </c>
      <c r="T108" s="92">
        <v>0</v>
      </c>
      <c r="U108" s="92">
        <v>0.05</v>
      </c>
      <c r="V108" s="92">
        <v>0.35</v>
      </c>
      <c r="W108" s="92">
        <v>0.15</v>
      </c>
      <c r="X108" s="92">
        <v>0.2</v>
      </c>
      <c r="Y108" s="92">
        <v>0.25</v>
      </c>
      <c r="Z108" s="92">
        <v>0</v>
      </c>
      <c r="AA108" s="92">
        <v>0.5</v>
      </c>
      <c r="AB108" s="92">
        <v>0.1</v>
      </c>
      <c r="AC108" s="92">
        <v>0.4</v>
      </c>
      <c r="AD108" s="92">
        <v>0.3</v>
      </c>
      <c r="AE108" s="92">
        <v>0.5</v>
      </c>
    </row>
    <row r="109" spans="1:31" ht="15.75" x14ac:dyDescent="0.25">
      <c r="A109" s="91" t="s">
        <v>131</v>
      </c>
      <c r="B109" s="273" t="s">
        <v>255</v>
      </c>
      <c r="C109" s="274"/>
      <c r="D109" s="274"/>
      <c r="E109" s="274"/>
      <c r="F109" s="274"/>
      <c r="G109" s="275"/>
      <c r="H109" s="35"/>
      <c r="I109" s="35"/>
      <c r="J109" s="91" t="s">
        <v>4</v>
      </c>
      <c r="K109" s="91">
        <f>K116/K118</f>
        <v>1</v>
      </c>
      <c r="L109" s="98">
        <f t="shared" ca="1" si="4"/>
        <v>0.5</v>
      </c>
      <c r="M109" s="25"/>
      <c r="N109" s="92">
        <v>0.15</v>
      </c>
      <c r="O109" s="92">
        <v>0.02</v>
      </c>
      <c r="P109" s="92">
        <v>0.9</v>
      </c>
      <c r="Q109" s="92">
        <v>0.7</v>
      </c>
      <c r="R109" s="92">
        <v>0.4</v>
      </c>
      <c r="S109" s="92">
        <v>0.12</v>
      </c>
      <c r="T109" s="92">
        <v>0.02</v>
      </c>
      <c r="U109" s="92">
        <v>0.1</v>
      </c>
      <c r="V109" s="92">
        <v>0.48</v>
      </c>
      <c r="W109" s="92">
        <v>0.5</v>
      </c>
      <c r="X109" s="92">
        <v>0.1</v>
      </c>
      <c r="Y109" s="92">
        <v>0.2</v>
      </c>
      <c r="Z109" s="92">
        <v>1</v>
      </c>
      <c r="AA109" s="92">
        <v>1</v>
      </c>
      <c r="AB109" s="92">
        <v>1</v>
      </c>
      <c r="AC109" s="92">
        <v>1</v>
      </c>
      <c r="AD109" s="92">
        <v>1</v>
      </c>
      <c r="AE109" s="92">
        <v>1</v>
      </c>
    </row>
    <row r="110" spans="1:31" ht="15.75" x14ac:dyDescent="0.25">
      <c r="A110" s="91" t="s">
        <v>137</v>
      </c>
      <c r="B110" s="273" t="s">
        <v>255</v>
      </c>
      <c r="C110" s="274"/>
      <c r="D110" s="274"/>
      <c r="E110" s="274"/>
      <c r="F110" s="274"/>
      <c r="G110" s="275"/>
      <c r="H110" s="35"/>
      <c r="I110" s="35"/>
      <c r="J110" s="91" t="s">
        <v>6</v>
      </c>
      <c r="K110" s="91">
        <f>K117/K118</f>
        <v>0</v>
      </c>
      <c r="L110" s="98">
        <f t="shared" ca="1" si="4"/>
        <v>0</v>
      </c>
      <c r="M110" s="25"/>
      <c r="N110" s="92">
        <v>0.2</v>
      </c>
      <c r="O110" s="92">
        <v>0</v>
      </c>
      <c r="P110" s="92">
        <v>0.22</v>
      </c>
      <c r="Q110" s="92">
        <v>0.4</v>
      </c>
      <c r="R110" s="92">
        <v>0.75</v>
      </c>
      <c r="S110" s="92">
        <v>1</v>
      </c>
      <c r="T110" s="92">
        <v>1</v>
      </c>
      <c r="U110" s="92">
        <v>0.9</v>
      </c>
      <c r="V110" s="92">
        <v>0</v>
      </c>
      <c r="W110" s="92">
        <v>0</v>
      </c>
      <c r="X110" s="92">
        <v>0</v>
      </c>
      <c r="Y110" s="92">
        <v>0</v>
      </c>
      <c r="Z110" s="92">
        <v>0.1</v>
      </c>
      <c r="AA110" s="92">
        <v>0</v>
      </c>
      <c r="AB110" s="92">
        <v>0.45</v>
      </c>
      <c r="AC110" s="92">
        <v>0.45</v>
      </c>
      <c r="AD110" s="92">
        <v>0</v>
      </c>
      <c r="AE110" s="92">
        <v>0</v>
      </c>
    </row>
    <row r="111" spans="1:31" ht="15.75" x14ac:dyDescent="0.25">
      <c r="A111" s="91" t="s">
        <v>138</v>
      </c>
      <c r="B111" s="273" t="s">
        <v>255</v>
      </c>
      <c r="C111" s="274"/>
      <c r="D111" s="274"/>
      <c r="E111" s="274"/>
      <c r="F111" s="274"/>
      <c r="G111" s="275"/>
      <c r="H111" s="35"/>
      <c r="I111" s="35"/>
      <c r="J111" s="35"/>
      <c r="K111" s="35"/>
      <c r="L111" s="35"/>
      <c r="M111" s="97"/>
    </row>
    <row r="112" spans="1:31" ht="15.75" x14ac:dyDescent="0.25">
      <c r="A112" s="91" t="s">
        <v>139</v>
      </c>
      <c r="B112" s="273" t="s">
        <v>255</v>
      </c>
      <c r="C112" s="274"/>
      <c r="D112" s="274"/>
      <c r="E112" s="274"/>
      <c r="F112" s="274"/>
      <c r="G112" s="275"/>
      <c r="H112" s="35"/>
      <c r="I112" s="35"/>
      <c r="J112" s="35"/>
      <c r="K112" s="52" t="s">
        <v>87</v>
      </c>
      <c r="L112" s="64" t="s">
        <v>88</v>
      </c>
    </row>
    <row r="113" spans="1:13" ht="15.75" x14ac:dyDescent="0.25">
      <c r="A113" s="91" t="s">
        <v>140</v>
      </c>
      <c r="B113" s="273" t="s">
        <v>255</v>
      </c>
      <c r="C113" s="274"/>
      <c r="D113" s="274"/>
      <c r="E113" s="274"/>
      <c r="F113" s="274"/>
      <c r="G113" s="275"/>
      <c r="H113" s="35"/>
      <c r="I113" s="35"/>
      <c r="J113" s="35" t="s">
        <v>2</v>
      </c>
      <c r="K113" s="35">
        <f>MBA!A10/100</f>
        <v>0.99</v>
      </c>
      <c r="L113" s="35">
        <f>K113/K118</f>
        <v>0.12563451776649745</v>
      </c>
    </row>
    <row r="114" spans="1:13" ht="15.75" x14ac:dyDescent="0.25">
      <c r="A114" s="91" t="s">
        <v>141</v>
      </c>
      <c r="B114" s="273" t="s">
        <v>256</v>
      </c>
      <c r="C114" s="274"/>
      <c r="D114" s="274"/>
      <c r="E114" s="274"/>
      <c r="F114" s="274"/>
      <c r="G114" s="275"/>
      <c r="H114" s="35"/>
      <c r="I114" s="35"/>
      <c r="J114" s="35" t="s">
        <v>3</v>
      </c>
      <c r="K114" s="35">
        <f>MBA!B10/100</f>
        <v>7.8</v>
      </c>
      <c r="L114" s="35">
        <f>K114/K118</f>
        <v>0.98984771573604058</v>
      </c>
    </row>
    <row r="115" spans="1:13" ht="15.75" x14ac:dyDescent="0.25">
      <c r="A115" s="91" t="s">
        <v>142</v>
      </c>
      <c r="B115" s="273" t="s">
        <v>256</v>
      </c>
      <c r="C115" s="274"/>
      <c r="D115" s="274"/>
      <c r="E115" s="274"/>
      <c r="F115" s="274"/>
      <c r="G115" s="275"/>
      <c r="H115" s="35"/>
      <c r="I115" s="35"/>
      <c r="J115" s="35" t="s">
        <v>5</v>
      </c>
      <c r="K115" s="35">
        <f>MBA!D10/50</f>
        <v>5.34</v>
      </c>
      <c r="L115" s="35">
        <f>K115/K118</f>
        <v>0.67766497461928932</v>
      </c>
    </row>
    <row r="116" spans="1:13" ht="15.75" x14ac:dyDescent="0.25">
      <c r="A116" s="91" t="s">
        <v>143</v>
      </c>
      <c r="B116" s="273" t="s">
        <v>257</v>
      </c>
      <c r="C116" s="274"/>
      <c r="D116" s="274"/>
      <c r="E116" s="274"/>
      <c r="F116" s="274"/>
      <c r="G116" s="275"/>
      <c r="H116" s="35"/>
      <c r="I116" s="35"/>
      <c r="J116" s="35" t="s">
        <v>4</v>
      </c>
      <c r="K116" s="35">
        <f>MBA!C10/100</f>
        <v>7.88</v>
      </c>
      <c r="L116" s="35">
        <f>K116/K118</f>
        <v>1</v>
      </c>
    </row>
    <row r="117" spans="1:13" ht="15.75" x14ac:dyDescent="0.25">
      <c r="A117" s="91" t="s">
        <v>144</v>
      </c>
      <c r="B117" s="273" t="s">
        <v>258</v>
      </c>
      <c r="C117" s="274"/>
      <c r="D117" s="274"/>
      <c r="E117" s="274"/>
      <c r="F117" s="274"/>
      <c r="G117" s="275"/>
      <c r="H117" s="35"/>
      <c r="I117" s="35"/>
      <c r="J117" s="35" t="s">
        <v>6</v>
      </c>
      <c r="K117" s="35">
        <f>MBA!E10/10</f>
        <v>0</v>
      </c>
      <c r="L117" s="35">
        <f>K117/K118</f>
        <v>0</v>
      </c>
    </row>
    <row r="118" spans="1:13" ht="15.75" x14ac:dyDescent="0.25">
      <c r="A118" s="91" t="s">
        <v>145</v>
      </c>
      <c r="B118" s="273" t="s">
        <v>259</v>
      </c>
      <c r="C118" s="274"/>
      <c r="D118" s="274"/>
      <c r="E118" s="274"/>
      <c r="F118" s="274"/>
      <c r="G118" s="275"/>
      <c r="H118" s="35"/>
      <c r="I118" s="35"/>
      <c r="J118" s="91" t="s">
        <v>86</v>
      </c>
      <c r="K118" s="100">
        <f>MAX(K113:K117)</f>
        <v>7.88</v>
      </c>
      <c r="L118" s="35"/>
    </row>
    <row r="119" spans="1:13" ht="15.75" x14ac:dyDescent="0.25">
      <c r="A119" s="91" t="s">
        <v>146</v>
      </c>
      <c r="B119" s="273" t="s">
        <v>259</v>
      </c>
      <c r="C119" s="274"/>
      <c r="D119" s="274"/>
      <c r="E119" s="274"/>
      <c r="F119" s="274"/>
      <c r="G119" s="275"/>
      <c r="H119" s="35"/>
      <c r="I119" s="35"/>
      <c r="J119" s="35"/>
      <c r="K119" s="35"/>
      <c r="L119" s="35"/>
    </row>
    <row r="120" spans="1:13" ht="15.75" x14ac:dyDescent="0.25">
      <c r="A120" s="91" t="s">
        <v>149</v>
      </c>
      <c r="B120" s="273" t="s">
        <v>151</v>
      </c>
      <c r="C120" s="274"/>
      <c r="D120" s="274"/>
      <c r="E120" s="274"/>
      <c r="F120" s="274"/>
      <c r="G120" s="275"/>
      <c r="H120" s="35"/>
      <c r="I120" s="35"/>
      <c r="J120" s="35"/>
      <c r="K120" s="35"/>
      <c r="L120" s="35"/>
    </row>
    <row r="121" spans="1:13" ht="15.75" x14ac:dyDescent="0.25">
      <c r="A121" s="91" t="s">
        <v>148</v>
      </c>
      <c r="B121" s="273" t="s">
        <v>260</v>
      </c>
      <c r="C121" s="274"/>
      <c r="D121" s="274"/>
      <c r="E121" s="274"/>
      <c r="F121" s="274"/>
      <c r="G121" s="275"/>
      <c r="H121" s="35"/>
      <c r="I121" s="35"/>
      <c r="J121" s="35"/>
      <c r="K121" s="35"/>
      <c r="L121" s="35"/>
    </row>
    <row r="122" spans="1:13" ht="15.75" x14ac:dyDescent="0.25">
      <c r="A122" s="91" t="s">
        <v>147</v>
      </c>
      <c r="B122" s="273" t="s">
        <v>261</v>
      </c>
      <c r="C122" s="274"/>
      <c r="D122" s="274"/>
      <c r="E122" s="274"/>
      <c r="F122" s="274"/>
      <c r="G122" s="275"/>
      <c r="H122" s="35"/>
      <c r="I122" s="35"/>
      <c r="J122" s="35"/>
      <c r="K122" s="35"/>
      <c r="L122" s="35"/>
    </row>
    <row r="123" spans="1:13" ht="15.75" x14ac:dyDescent="0.25">
      <c r="A123" s="91" t="s">
        <v>150</v>
      </c>
      <c r="B123" s="273" t="s">
        <v>262</v>
      </c>
      <c r="C123" s="274"/>
      <c r="D123" s="274"/>
      <c r="E123" s="274"/>
      <c r="F123" s="274"/>
      <c r="G123" s="275"/>
      <c r="H123" s="35"/>
      <c r="I123" s="35"/>
      <c r="J123" s="35"/>
      <c r="K123" s="35"/>
      <c r="L123" s="35"/>
    </row>
    <row r="124" spans="1:13" ht="15.75" x14ac:dyDescent="0.25">
      <c r="A124" s="69"/>
      <c r="B124" s="69"/>
      <c r="C124" s="45"/>
      <c r="D124" s="45"/>
      <c r="E124" s="45"/>
      <c r="F124" s="45"/>
      <c r="G124" s="45"/>
      <c r="H124" s="45"/>
      <c r="I124" s="45"/>
    </row>
    <row r="126" spans="1:13" s="5" customFormat="1" ht="15.75" x14ac:dyDescent="0.25">
      <c r="A126" s="378" t="s">
        <v>89</v>
      </c>
      <c r="B126" s="379"/>
      <c r="C126" s="379"/>
      <c r="D126" s="379"/>
      <c r="E126" s="379"/>
      <c r="F126" s="379"/>
      <c r="G126" s="4"/>
      <c r="H126" s="4"/>
      <c r="I126" s="4"/>
      <c r="J126" s="4"/>
      <c r="K126" s="4"/>
      <c r="L126" s="4"/>
      <c r="M126" s="4"/>
    </row>
    <row r="127" spans="1:13" s="5" customFormat="1" ht="18.75" x14ac:dyDescent="0.3">
      <c r="A127" s="382" t="s">
        <v>90</v>
      </c>
      <c r="B127" s="382"/>
    </row>
    <row r="128" spans="1:13" s="5" customFormat="1" ht="15.75" x14ac:dyDescent="0.25"/>
    <row r="129" spans="1:14" s="5" customFormat="1" ht="15.75" x14ac:dyDescent="0.25">
      <c r="A129" s="8" t="s">
        <v>91</v>
      </c>
      <c r="B129" s="8" t="s">
        <v>77</v>
      </c>
      <c r="C129" s="8" t="s">
        <v>76</v>
      </c>
      <c r="D129" s="7" t="s">
        <v>78</v>
      </c>
      <c r="E129" s="46"/>
      <c r="F129" s="36"/>
      <c r="G129" s="36"/>
      <c r="H129" s="286" t="s">
        <v>55</v>
      </c>
      <c r="I129" s="287"/>
      <c r="J129" s="287"/>
      <c r="K129" s="287"/>
      <c r="L129" s="287"/>
      <c r="M129" s="287"/>
      <c r="N129" s="288"/>
    </row>
    <row r="130" spans="1:14" s="5" customFormat="1" ht="15.75" x14ac:dyDescent="0.25">
      <c r="A130" s="8" t="s">
        <v>32</v>
      </c>
      <c r="B130" s="37">
        <v>0.01</v>
      </c>
      <c r="C130" s="37">
        <v>0.1</v>
      </c>
      <c r="D130" s="38">
        <v>0.2</v>
      </c>
      <c r="E130" s="65"/>
      <c r="F130" s="36"/>
      <c r="G130" s="36"/>
      <c r="H130" s="384"/>
      <c r="I130" s="385"/>
      <c r="J130" s="385"/>
      <c r="K130" s="385"/>
      <c r="L130" s="385"/>
      <c r="M130" s="385"/>
      <c r="N130" s="386"/>
    </row>
    <row r="131" spans="1:14" s="5" customFormat="1" ht="15.75" x14ac:dyDescent="0.25">
      <c r="A131" s="8" t="s">
        <v>40</v>
      </c>
      <c r="B131" s="37">
        <v>1</v>
      </c>
      <c r="C131" s="37">
        <v>0.1</v>
      </c>
      <c r="D131" s="38">
        <v>1</v>
      </c>
      <c r="E131" s="65"/>
      <c r="F131" s="36"/>
      <c r="G131" s="36"/>
      <c r="H131" s="387"/>
      <c r="I131" s="388"/>
      <c r="J131" s="388"/>
      <c r="K131" s="388"/>
      <c r="L131" s="388"/>
      <c r="M131" s="388"/>
      <c r="N131" s="389"/>
    </row>
    <row r="132" spans="1:14" s="5" customFormat="1" ht="15.75" x14ac:dyDescent="0.25">
      <c r="A132" s="8"/>
      <c r="B132" s="37"/>
      <c r="C132" s="37">
        <v>0.5</v>
      </c>
      <c r="D132" s="38"/>
      <c r="E132" s="65"/>
      <c r="F132" s="36"/>
      <c r="G132" s="36"/>
      <c r="H132" s="36"/>
      <c r="I132" s="36"/>
      <c r="J132" s="36"/>
      <c r="K132" s="36"/>
    </row>
    <row r="133" spans="1:14" s="5" customFormat="1" ht="15.75" x14ac:dyDescent="0.25">
      <c r="A133" s="8" t="s">
        <v>42</v>
      </c>
      <c r="B133" s="37">
        <v>0.6</v>
      </c>
      <c r="C133" s="37">
        <v>0.1</v>
      </c>
      <c r="D133" s="38">
        <v>2</v>
      </c>
      <c r="E133" s="65"/>
      <c r="F133" s="36"/>
      <c r="G133" s="36"/>
      <c r="H133" s="36"/>
      <c r="I133" s="36"/>
      <c r="J133" s="36"/>
      <c r="K133" s="36"/>
    </row>
    <row r="134" spans="1:14" s="5" customFormat="1" ht="15.75" x14ac:dyDescent="0.25">
      <c r="A134" s="8"/>
      <c r="B134" s="37">
        <v>2.5</v>
      </c>
      <c r="C134" s="37">
        <v>1</v>
      </c>
      <c r="D134" s="38"/>
      <c r="E134" s="65"/>
      <c r="F134" s="36"/>
      <c r="G134" s="36"/>
      <c r="H134" s="36"/>
      <c r="I134" s="36"/>
      <c r="J134" s="36"/>
      <c r="K134" s="36"/>
    </row>
    <row r="135" spans="1:14" s="5" customFormat="1" ht="15.75" x14ac:dyDescent="0.25">
      <c r="A135" s="8" t="s">
        <v>38</v>
      </c>
      <c r="B135" s="37">
        <v>0.01</v>
      </c>
      <c r="C135" s="37">
        <v>1</v>
      </c>
      <c r="D135" s="38">
        <v>1</v>
      </c>
      <c r="E135" s="65"/>
      <c r="F135" s="36"/>
      <c r="G135" s="36"/>
      <c r="H135" s="36"/>
      <c r="I135" s="36"/>
      <c r="J135" s="36"/>
      <c r="K135" s="36"/>
    </row>
    <row r="136" spans="1:14" s="5" customFormat="1" ht="15.75" x14ac:dyDescent="0.25">
      <c r="A136" s="8"/>
      <c r="B136" s="37"/>
      <c r="C136" s="37">
        <v>0.01</v>
      </c>
      <c r="D136" s="38"/>
      <c r="E136" s="65"/>
      <c r="F136" s="36"/>
      <c r="G136" s="36"/>
      <c r="H136" s="36"/>
      <c r="I136" s="36"/>
      <c r="J136" s="36"/>
      <c r="K136" s="36"/>
    </row>
    <row r="137" spans="1:14" s="5" customFormat="1" ht="15.75" x14ac:dyDescent="0.25">
      <c r="A137" s="8" t="s">
        <v>36</v>
      </c>
      <c r="B137" s="37">
        <v>0.1</v>
      </c>
      <c r="C137" s="37">
        <v>1</v>
      </c>
      <c r="D137" s="38">
        <v>1</v>
      </c>
      <c r="E137" s="65"/>
      <c r="F137" s="36"/>
      <c r="G137" s="36"/>
      <c r="H137" s="36"/>
      <c r="I137" s="36"/>
      <c r="J137" s="36"/>
      <c r="K137" s="36"/>
    </row>
    <row r="138" spans="1:14" s="5" customFormat="1" ht="15.75" x14ac:dyDescent="0.25">
      <c r="A138" s="8"/>
      <c r="B138" s="37"/>
      <c r="C138" s="37"/>
      <c r="D138" s="38">
        <v>4</v>
      </c>
      <c r="E138" s="65"/>
      <c r="F138" s="36"/>
      <c r="G138" s="36"/>
      <c r="H138" s="36"/>
      <c r="I138" s="36"/>
      <c r="J138" s="36"/>
      <c r="K138" s="36"/>
    </row>
    <row r="139" spans="1:14" s="5" customFormat="1" ht="15.75" x14ac:dyDescent="0.25">
      <c r="A139" s="8" t="s">
        <v>34</v>
      </c>
      <c r="B139" s="37">
        <v>0.2</v>
      </c>
      <c r="C139" s="37">
        <v>1</v>
      </c>
      <c r="D139" s="38">
        <v>4</v>
      </c>
      <c r="E139" s="65"/>
      <c r="F139" s="36"/>
      <c r="G139" s="36"/>
      <c r="H139" s="36"/>
      <c r="I139" s="36"/>
      <c r="J139" s="36"/>
      <c r="K139" s="36"/>
    </row>
    <row r="140" spans="1:14" s="5" customFormat="1" ht="15.75" x14ac:dyDescent="0.25">
      <c r="A140" s="9" t="s">
        <v>92</v>
      </c>
      <c r="B140" s="39">
        <f>MBA!D190</f>
        <v>0</v>
      </c>
      <c r="C140" s="39">
        <f>MBA!D189</f>
        <v>7.8787878787878789</v>
      </c>
      <c r="D140" s="40">
        <f>MBA!D193</f>
        <v>2.9513108614232211</v>
      </c>
      <c r="E140" s="66"/>
      <c r="F140" s="36"/>
      <c r="G140" s="41"/>
      <c r="H140" s="41"/>
      <c r="I140" s="41"/>
      <c r="J140" s="41"/>
      <c r="K140" s="42"/>
    </row>
    <row r="141" spans="1:14" s="5" customFormat="1" ht="15.75" x14ac:dyDescent="0.25">
      <c r="A141" s="43"/>
      <c r="B141" s="44"/>
      <c r="C141" s="44"/>
      <c r="D141" s="44"/>
      <c r="E141" s="44"/>
      <c r="F141" s="381"/>
      <c r="G141" s="381"/>
      <c r="H141" s="381"/>
      <c r="I141" s="45"/>
      <c r="J141" s="42"/>
      <c r="K141" s="42"/>
    </row>
    <row r="142" spans="1:14" s="5" customFormat="1" ht="15.75" x14ac:dyDescent="0.25">
      <c r="G142" s="33"/>
      <c r="H142" s="42"/>
      <c r="I142" s="42"/>
      <c r="J142" s="42"/>
      <c r="K142" s="42"/>
    </row>
    <row r="143" spans="1:14" s="5" customFormat="1" ht="18.75" x14ac:dyDescent="0.3">
      <c r="A143" s="382" t="s">
        <v>93</v>
      </c>
      <c r="B143" s="382"/>
    </row>
    <row r="144" spans="1:14" s="5" customFormat="1" ht="15.75" x14ac:dyDescent="0.25">
      <c r="G144" s="42"/>
      <c r="H144" s="42"/>
      <c r="I144" s="42"/>
      <c r="J144" s="42"/>
      <c r="K144" s="42"/>
    </row>
    <row r="145" spans="1:14" s="5" customFormat="1" ht="15.75" x14ac:dyDescent="0.25">
      <c r="A145" s="8" t="s">
        <v>91</v>
      </c>
      <c r="B145" s="8" t="s">
        <v>77</v>
      </c>
      <c r="C145" s="8" t="s">
        <v>76</v>
      </c>
      <c r="D145" s="7" t="s">
        <v>78</v>
      </c>
      <c r="E145" s="46"/>
      <c r="F145" s="45"/>
      <c r="G145" s="36"/>
      <c r="H145" s="397" t="s">
        <v>94</v>
      </c>
      <c r="I145" s="397"/>
      <c r="J145" s="397"/>
      <c r="K145" s="397"/>
      <c r="L145" s="397"/>
      <c r="M145" s="397"/>
      <c r="N145" s="397"/>
    </row>
    <row r="146" spans="1:14" s="5" customFormat="1" ht="15.75" x14ac:dyDescent="0.25">
      <c r="A146" s="8" t="s">
        <v>95</v>
      </c>
      <c r="B146" s="37">
        <v>0.1</v>
      </c>
      <c r="C146" s="37">
        <v>0.1</v>
      </c>
      <c r="D146" s="38">
        <v>1</v>
      </c>
      <c r="E146" s="34"/>
      <c r="F146" s="36"/>
      <c r="G146" s="36"/>
      <c r="H146" s="398"/>
      <c r="I146" s="398"/>
      <c r="J146" s="398"/>
      <c r="K146" s="398"/>
      <c r="L146" s="398"/>
      <c r="M146" s="398"/>
      <c r="N146" s="398"/>
    </row>
    <row r="147" spans="1:14" s="5" customFormat="1" ht="15.75" x14ac:dyDescent="0.25">
      <c r="A147" s="8"/>
      <c r="B147" s="16"/>
      <c r="C147" s="37">
        <v>1</v>
      </c>
      <c r="D147" s="15"/>
      <c r="E147" s="34"/>
      <c r="F147" s="36"/>
      <c r="G147" s="36"/>
      <c r="H147" s="398"/>
      <c r="I147" s="398"/>
      <c r="J147" s="398"/>
      <c r="K147" s="398"/>
      <c r="L147" s="398"/>
      <c r="M147" s="398"/>
      <c r="N147" s="398"/>
    </row>
    <row r="148" spans="1:14" s="5" customFormat="1" ht="15.75" x14ac:dyDescent="0.25">
      <c r="A148" s="8" t="s">
        <v>32</v>
      </c>
      <c r="B148" s="37">
        <v>0.1</v>
      </c>
      <c r="C148" s="37">
        <v>0.1</v>
      </c>
      <c r="D148" s="38">
        <v>1</v>
      </c>
      <c r="E148" s="65"/>
      <c r="F148" s="36"/>
      <c r="G148" s="36"/>
      <c r="H148" s="24"/>
      <c r="I148" s="24"/>
      <c r="J148" s="24"/>
      <c r="K148" s="24"/>
      <c r="L148" s="24"/>
      <c r="M148" s="24"/>
      <c r="N148" s="24"/>
    </row>
    <row r="149" spans="1:14" s="5" customFormat="1" ht="15.75" x14ac:dyDescent="0.25">
      <c r="A149" s="8"/>
      <c r="B149" s="37"/>
      <c r="C149" s="37"/>
      <c r="D149" s="38"/>
      <c r="E149" s="65"/>
      <c r="F149" s="36"/>
      <c r="G149" s="36"/>
      <c r="H149" s="24"/>
      <c r="I149" s="24"/>
      <c r="J149" s="24"/>
      <c r="K149" s="24"/>
      <c r="L149" s="24"/>
      <c r="M149" s="24"/>
      <c r="N149" s="24"/>
    </row>
    <row r="150" spans="1:14" s="5" customFormat="1" ht="15.75" x14ac:dyDescent="0.25">
      <c r="A150" s="8" t="s">
        <v>42</v>
      </c>
      <c r="B150" s="37">
        <v>0.1</v>
      </c>
      <c r="C150" s="37">
        <v>0.1</v>
      </c>
      <c r="D150" s="38">
        <v>3</v>
      </c>
      <c r="E150" s="65"/>
      <c r="F150" s="36"/>
      <c r="G150" s="36"/>
      <c r="H150" s="24"/>
      <c r="I150" s="24"/>
      <c r="J150" s="24"/>
      <c r="K150" s="24"/>
      <c r="L150" s="24"/>
      <c r="M150" s="24"/>
      <c r="N150" s="24"/>
    </row>
    <row r="151" spans="1:14" s="5" customFormat="1" ht="15.75" x14ac:dyDescent="0.25">
      <c r="A151" s="8"/>
      <c r="B151" s="37">
        <v>3</v>
      </c>
      <c r="C151" s="37">
        <v>1</v>
      </c>
      <c r="D151" s="38"/>
      <c r="E151" s="65"/>
      <c r="F151" s="36"/>
      <c r="G151" s="36"/>
      <c r="H151" s="24"/>
      <c r="I151" s="24"/>
      <c r="J151" s="24"/>
      <c r="K151" s="24"/>
      <c r="L151" s="24"/>
      <c r="M151" s="24"/>
      <c r="N151" s="24"/>
    </row>
    <row r="152" spans="1:14" s="5" customFormat="1" ht="15.75" x14ac:dyDescent="0.25">
      <c r="A152" s="8"/>
      <c r="B152" s="37"/>
      <c r="C152" s="37"/>
      <c r="D152" s="38"/>
      <c r="E152" s="65"/>
      <c r="F152" s="36"/>
      <c r="G152" s="36"/>
      <c r="H152" s="36"/>
      <c r="I152" s="36"/>
      <c r="J152" s="383"/>
      <c r="K152" s="383"/>
      <c r="L152" s="383"/>
      <c r="M152" s="383"/>
      <c r="N152" s="383"/>
    </row>
    <row r="153" spans="1:14" s="5" customFormat="1" ht="15.75" x14ac:dyDescent="0.25">
      <c r="A153" s="8" t="s">
        <v>38</v>
      </c>
      <c r="B153" s="37">
        <v>0.1</v>
      </c>
      <c r="C153" s="37">
        <v>0.1</v>
      </c>
      <c r="D153" s="38">
        <v>1</v>
      </c>
      <c r="E153" s="65"/>
      <c r="F153" s="36"/>
      <c r="G153" s="36"/>
      <c r="H153" s="36"/>
      <c r="I153" s="36"/>
      <c r="J153" s="36"/>
      <c r="K153" s="36"/>
    </row>
    <row r="154" spans="1:14" s="5" customFormat="1" ht="15.75" x14ac:dyDescent="0.25">
      <c r="A154" s="8"/>
      <c r="B154" s="37"/>
      <c r="C154" s="37">
        <v>1</v>
      </c>
      <c r="D154" s="38">
        <v>3</v>
      </c>
      <c r="E154" s="65"/>
      <c r="F154" s="36"/>
      <c r="G154" s="36"/>
      <c r="H154" s="36"/>
      <c r="I154" s="36"/>
      <c r="J154" s="36"/>
      <c r="K154" s="36"/>
    </row>
    <row r="155" spans="1:14" s="5" customFormat="1" ht="15.75" x14ac:dyDescent="0.25">
      <c r="A155" s="8"/>
      <c r="B155" s="37"/>
      <c r="C155" s="37"/>
      <c r="D155" s="38"/>
      <c r="E155" s="65"/>
      <c r="F155" s="36"/>
      <c r="G155" s="36"/>
      <c r="H155" s="36"/>
      <c r="I155" s="36"/>
      <c r="J155" s="36"/>
      <c r="K155" s="36"/>
    </row>
    <row r="156" spans="1:14" s="5" customFormat="1" ht="15.75" x14ac:dyDescent="0.25">
      <c r="A156" s="8" t="s">
        <v>36</v>
      </c>
      <c r="B156" s="37">
        <v>0.1</v>
      </c>
      <c r="C156" s="37">
        <v>1</v>
      </c>
      <c r="D156" s="38">
        <v>1</v>
      </c>
      <c r="E156" s="65"/>
      <c r="F156" s="36"/>
      <c r="G156" s="36"/>
      <c r="H156" s="36"/>
      <c r="I156" s="36"/>
      <c r="J156" s="36"/>
      <c r="K156" s="36"/>
    </row>
    <row r="157" spans="1:14" s="5" customFormat="1" ht="15.75" x14ac:dyDescent="0.25">
      <c r="A157" s="8"/>
      <c r="B157" s="37"/>
      <c r="C157" s="37"/>
      <c r="D157" s="38">
        <v>3</v>
      </c>
      <c r="E157" s="65"/>
      <c r="F157" s="36"/>
      <c r="G157" s="36"/>
      <c r="H157" s="36"/>
      <c r="I157" s="36"/>
      <c r="J157" s="36"/>
      <c r="K157" s="36"/>
    </row>
    <row r="158" spans="1:14" s="5" customFormat="1" ht="15.75" x14ac:dyDescent="0.25">
      <c r="A158" s="8"/>
      <c r="B158" s="37"/>
      <c r="C158" s="37"/>
      <c r="D158" s="38"/>
      <c r="E158" s="65"/>
      <c r="F158" s="36"/>
      <c r="G158" s="36"/>
      <c r="H158" s="36"/>
      <c r="I158" s="36"/>
      <c r="J158" s="36"/>
      <c r="K158" s="36"/>
    </row>
    <row r="159" spans="1:14" s="5" customFormat="1" ht="15.75" x14ac:dyDescent="0.25">
      <c r="A159" s="8" t="s">
        <v>34</v>
      </c>
      <c r="B159" s="37">
        <v>0.1</v>
      </c>
      <c r="C159" s="37">
        <v>1</v>
      </c>
      <c r="D159" s="38">
        <v>3</v>
      </c>
      <c r="E159" s="65"/>
      <c r="F159" s="36"/>
      <c r="G159" s="36"/>
      <c r="H159" s="36"/>
      <c r="I159" s="36"/>
      <c r="J159" s="36"/>
      <c r="K159" s="36"/>
    </row>
    <row r="160" spans="1:14" s="5" customFormat="1" ht="15.75" x14ac:dyDescent="0.25">
      <c r="A160" s="22" t="s">
        <v>92</v>
      </c>
      <c r="B160" s="39">
        <f>MBA!D190</f>
        <v>0</v>
      </c>
      <c r="C160" s="47">
        <f>MBA!D189</f>
        <v>7.8787878787878789</v>
      </c>
      <c r="D160" s="48">
        <f>MBA!D193</f>
        <v>2.9513108614232211</v>
      </c>
      <c r="E160" s="67"/>
      <c r="F160" s="36"/>
    </row>
    <row r="161" spans="1:14" s="5" customFormat="1" ht="15.75" x14ac:dyDescent="0.25">
      <c r="A161" s="33"/>
      <c r="B161" s="49"/>
      <c r="C161" s="49"/>
      <c r="D161" s="49"/>
      <c r="E161" s="49"/>
    </row>
    <row r="162" spans="1:14" s="5" customFormat="1" ht="15.75" x14ac:dyDescent="0.25">
      <c r="B162" s="44"/>
      <c r="C162" s="44"/>
      <c r="D162" s="44"/>
      <c r="E162" s="44"/>
      <c r="F162" s="33"/>
      <c r="G162" s="381"/>
      <c r="H162" s="381"/>
      <c r="I162" s="45"/>
    </row>
    <row r="163" spans="1:14" s="5" customFormat="1" ht="15.75" x14ac:dyDescent="0.25">
      <c r="B163" s="44"/>
      <c r="C163" s="44"/>
      <c r="D163" s="44"/>
      <c r="E163" s="44"/>
      <c r="G163" s="6"/>
    </row>
    <row r="164" spans="1:14" s="5" customFormat="1" ht="18.75" x14ac:dyDescent="0.3">
      <c r="A164" s="399" t="s">
        <v>96</v>
      </c>
      <c r="B164" s="399"/>
      <c r="C164" s="399"/>
    </row>
    <row r="165" spans="1:14" s="5" customFormat="1" ht="15.75" x14ac:dyDescent="0.25">
      <c r="A165" s="50"/>
    </row>
    <row r="166" spans="1:14" s="5" customFormat="1" ht="15.75" x14ac:dyDescent="0.25">
      <c r="B166" s="220" t="s">
        <v>162</v>
      </c>
      <c r="C166" s="220" t="s">
        <v>161</v>
      </c>
      <c r="D166" s="220" t="s">
        <v>163</v>
      </c>
      <c r="E166" s="220"/>
      <c r="F166" s="220" t="s">
        <v>164</v>
      </c>
      <c r="H166" s="42"/>
      <c r="I166" s="42"/>
      <c r="J166" s="42"/>
      <c r="K166" s="42"/>
      <c r="L166" s="42"/>
    </row>
    <row r="167" spans="1:14" s="5" customFormat="1" ht="16.5" thickBot="1" x14ac:dyDescent="0.3">
      <c r="A167" s="22" t="s">
        <v>91</v>
      </c>
      <c r="B167" s="22" t="s">
        <v>77</v>
      </c>
      <c r="C167" s="22" t="s">
        <v>76</v>
      </c>
      <c r="D167" s="22" t="s">
        <v>97</v>
      </c>
      <c r="E167" s="51"/>
      <c r="F167" s="51" t="s">
        <v>98</v>
      </c>
      <c r="G167" s="46"/>
      <c r="H167" s="22" t="s">
        <v>77</v>
      </c>
      <c r="I167" s="36"/>
      <c r="J167" s="400" t="s">
        <v>94</v>
      </c>
      <c r="K167" s="401"/>
      <c r="L167" s="401"/>
      <c r="M167" s="401"/>
      <c r="N167" s="402"/>
    </row>
    <row r="168" spans="1:14" s="5" customFormat="1" ht="15.75" x14ac:dyDescent="0.25">
      <c r="A168" s="52"/>
      <c r="B168" s="52"/>
      <c r="C168" s="52"/>
      <c r="D168" s="52"/>
      <c r="E168" s="53"/>
      <c r="F168" s="53"/>
      <c r="G168" s="34"/>
      <c r="H168" s="52"/>
      <c r="I168" s="36"/>
      <c r="J168" s="403"/>
      <c r="K168" s="404"/>
      <c r="L168" s="404"/>
      <c r="M168" s="404"/>
      <c r="N168" s="405"/>
    </row>
    <row r="169" spans="1:14" s="5" customFormat="1" ht="16.5" thickBot="1" x14ac:dyDescent="0.3">
      <c r="A169" s="22" t="s">
        <v>99</v>
      </c>
      <c r="B169" s="52">
        <v>0.75</v>
      </c>
      <c r="C169" s="54">
        <v>1</v>
      </c>
      <c r="D169" s="52">
        <v>0.3</v>
      </c>
      <c r="E169" s="53"/>
      <c r="F169" s="53">
        <v>0.4</v>
      </c>
      <c r="G169" s="34"/>
      <c r="H169" s="52">
        <v>0.75</v>
      </c>
      <c r="I169" s="36"/>
      <c r="J169" s="406"/>
      <c r="K169" s="407"/>
      <c r="L169" s="407"/>
      <c r="M169" s="407"/>
      <c r="N169" s="408"/>
    </row>
    <row r="170" spans="1:14" s="5" customFormat="1" ht="15.75" x14ac:dyDescent="0.25">
      <c r="A170" s="22"/>
      <c r="B170" s="52"/>
      <c r="C170" s="54"/>
      <c r="D170" s="52"/>
      <c r="E170" s="53"/>
      <c r="F170" s="53"/>
      <c r="G170" s="34"/>
      <c r="H170" s="52"/>
      <c r="I170" s="36"/>
      <c r="J170" s="45"/>
      <c r="K170" s="383"/>
      <c r="L170" s="383"/>
      <c r="M170" s="383"/>
      <c r="N170" s="383"/>
    </row>
    <row r="171" spans="1:14" s="5" customFormat="1" ht="15.75" x14ac:dyDescent="0.25">
      <c r="A171" s="22" t="s">
        <v>32</v>
      </c>
      <c r="B171" s="52">
        <v>0.01</v>
      </c>
      <c r="C171" s="54">
        <v>0.1</v>
      </c>
      <c r="D171" s="52">
        <v>0.3</v>
      </c>
      <c r="E171" s="53"/>
      <c r="F171" s="53">
        <v>0.4</v>
      </c>
      <c r="G171" s="34"/>
      <c r="H171" s="52">
        <v>0.01</v>
      </c>
      <c r="I171" s="36"/>
      <c r="J171" s="45"/>
      <c r="K171" s="383"/>
      <c r="L171" s="383"/>
      <c r="M171" s="383"/>
      <c r="N171" s="383"/>
    </row>
    <row r="172" spans="1:14" s="5" customFormat="1" ht="15.75" x14ac:dyDescent="0.25">
      <c r="A172" s="22"/>
      <c r="B172" s="52"/>
      <c r="C172" s="54"/>
      <c r="D172" s="52"/>
      <c r="E172" s="53"/>
      <c r="F172" s="53"/>
      <c r="G172" s="34"/>
      <c r="H172" s="52"/>
      <c r="I172" s="36"/>
      <c r="J172" s="45"/>
      <c r="K172" s="383"/>
      <c r="L172" s="383"/>
      <c r="M172" s="383"/>
      <c r="N172" s="383"/>
    </row>
    <row r="173" spans="1:14" s="5" customFormat="1" ht="15.75" x14ac:dyDescent="0.25">
      <c r="A173" s="22" t="s">
        <v>42</v>
      </c>
      <c r="B173" s="52">
        <v>0.75</v>
      </c>
      <c r="C173" s="54">
        <v>0.1</v>
      </c>
      <c r="D173" s="52">
        <v>0.3</v>
      </c>
      <c r="E173" s="53"/>
      <c r="F173" s="53">
        <v>0.4</v>
      </c>
      <c r="G173" s="34"/>
      <c r="H173" s="52">
        <v>0.75</v>
      </c>
      <c r="I173" s="36"/>
      <c r="J173" s="36"/>
      <c r="K173" s="36"/>
      <c r="L173" s="36"/>
      <c r="M173" s="36"/>
    </row>
    <row r="174" spans="1:14" s="5" customFormat="1" ht="15.75" x14ac:dyDescent="0.25">
      <c r="A174" s="52"/>
      <c r="B174" s="54">
        <v>1</v>
      </c>
      <c r="C174" s="54">
        <v>1</v>
      </c>
      <c r="D174" s="52"/>
      <c r="E174" s="53"/>
      <c r="F174" s="53"/>
      <c r="G174" s="55"/>
    </row>
    <row r="175" spans="1:14" s="5" customFormat="1" ht="15.75" x14ac:dyDescent="0.25">
      <c r="A175" s="22" t="s">
        <v>92</v>
      </c>
      <c r="B175" s="39">
        <f>MBA!D190</f>
        <v>0</v>
      </c>
      <c r="C175" s="39">
        <f>MBA!D189</f>
        <v>7.8787878787878789</v>
      </c>
      <c r="D175" s="39">
        <f>MBA!D191</f>
        <v>0</v>
      </c>
      <c r="E175" s="40"/>
      <c r="F175" s="40" t="e">
        <f>MBA!D192</f>
        <v>#DIV/0!</v>
      </c>
      <c r="G175" s="34"/>
    </row>
    <row r="176" spans="1:14" s="5" customFormat="1" ht="15.75" x14ac:dyDescent="0.25">
      <c r="A176" s="33"/>
      <c r="B176" s="44"/>
      <c r="C176" s="44"/>
      <c r="D176" s="44"/>
      <c r="E176" s="44"/>
      <c r="F176" s="44"/>
    </row>
    <row r="177" spans="1:14" s="5" customFormat="1" ht="15.75" x14ac:dyDescent="0.25">
      <c r="B177" s="56"/>
      <c r="C177" s="56"/>
      <c r="D177" s="56"/>
      <c r="E177" s="56"/>
      <c r="F177" s="56"/>
      <c r="G177" s="33"/>
      <c r="H177" s="381"/>
      <c r="I177" s="381"/>
      <c r="J177" s="381"/>
    </row>
    <row r="178" spans="1:14" s="5" customFormat="1" ht="15.75" x14ac:dyDescent="0.25">
      <c r="B178" s="56"/>
      <c r="C178" s="56"/>
      <c r="D178" s="56"/>
      <c r="E178" s="56"/>
      <c r="F178" s="56"/>
      <c r="G178" s="33"/>
      <c r="H178" s="45"/>
      <c r="I178" s="45"/>
      <c r="J178" s="45"/>
    </row>
    <row r="179" spans="1:14" s="5" customFormat="1" ht="18.75" x14ac:dyDescent="0.3">
      <c r="A179" s="413" t="s">
        <v>100</v>
      </c>
      <c r="B179" s="413"/>
      <c r="C179" s="413"/>
      <c r="D179" s="414"/>
      <c r="G179" s="33"/>
      <c r="H179" s="45"/>
      <c r="I179" s="45"/>
      <c r="J179" s="45"/>
    </row>
    <row r="180" spans="1:14" s="5" customFormat="1" ht="15.75" x14ac:dyDescent="0.25">
      <c r="G180" s="33"/>
      <c r="H180" s="45"/>
      <c r="I180" s="45"/>
      <c r="J180" s="45"/>
    </row>
    <row r="181" spans="1:14" s="5" customFormat="1" ht="15.75" x14ac:dyDescent="0.25">
      <c r="A181" s="8" t="s">
        <v>91</v>
      </c>
      <c r="B181" s="8" t="s">
        <v>77</v>
      </c>
      <c r="C181" s="8" t="s">
        <v>76</v>
      </c>
      <c r="D181" s="8" t="s">
        <v>78</v>
      </c>
      <c r="E181" s="8"/>
      <c r="F181" s="8" t="s">
        <v>55</v>
      </c>
      <c r="G181" s="286" t="s">
        <v>101</v>
      </c>
      <c r="H181" s="287"/>
      <c r="I181" s="287"/>
      <c r="J181" s="287"/>
      <c r="K181" s="287"/>
      <c r="L181" s="287"/>
      <c r="M181" s="287"/>
      <c r="N181" s="288"/>
    </row>
    <row r="182" spans="1:14" s="5" customFormat="1" ht="15.75" x14ac:dyDescent="0.25">
      <c r="A182" s="8" t="s">
        <v>102</v>
      </c>
      <c r="B182" s="16">
        <v>0.1</v>
      </c>
      <c r="C182" s="16">
        <v>0.1</v>
      </c>
      <c r="D182" s="16">
        <v>1</v>
      </c>
      <c r="E182" s="16"/>
      <c r="F182" s="16" t="str">
        <f>IF(AND(B197&lt;B182,C197&gt;C182,C197&lt;C183,D197&lt;D182),"1","0")</f>
        <v>0</v>
      </c>
      <c r="G182" s="273" t="s">
        <v>103</v>
      </c>
      <c r="H182" s="274"/>
      <c r="I182" s="274"/>
      <c r="J182" s="274"/>
      <c r="K182" s="274"/>
      <c r="L182" s="274"/>
      <c r="M182" s="274"/>
      <c r="N182" s="275"/>
    </row>
    <row r="183" spans="1:14" s="5" customFormat="1" ht="15.75" x14ac:dyDescent="0.25">
      <c r="A183" s="8"/>
      <c r="B183" s="16"/>
      <c r="C183" s="16">
        <v>1</v>
      </c>
      <c r="D183" s="16"/>
      <c r="E183" s="16"/>
      <c r="F183" s="16"/>
      <c r="G183" s="273"/>
      <c r="H183" s="274"/>
      <c r="I183" s="274"/>
      <c r="J183" s="274"/>
      <c r="K183" s="274"/>
      <c r="L183" s="274"/>
      <c r="M183" s="274"/>
      <c r="N183" s="275"/>
    </row>
    <row r="184" spans="1:14" s="5" customFormat="1" ht="15.75" x14ac:dyDescent="0.25">
      <c r="A184" s="8" t="s">
        <v>104</v>
      </c>
      <c r="B184" s="37">
        <v>0.1</v>
      </c>
      <c r="C184" s="37">
        <v>0.1</v>
      </c>
      <c r="D184" s="37">
        <v>1</v>
      </c>
      <c r="E184" s="37"/>
      <c r="F184" s="16" t="str">
        <f>IF(AND(B197&lt;B184,C197&lt;C184,D197&lt;D184),"1","0")</f>
        <v>0</v>
      </c>
      <c r="G184" s="273" t="s">
        <v>105</v>
      </c>
      <c r="H184" s="274"/>
      <c r="I184" s="274"/>
      <c r="J184" s="274"/>
      <c r="K184" s="274"/>
      <c r="L184" s="274"/>
      <c r="M184" s="274"/>
      <c r="N184" s="275"/>
    </row>
    <row r="185" spans="1:14" s="5" customFormat="1" ht="15.75" x14ac:dyDescent="0.25">
      <c r="A185" s="8" t="s">
        <v>106</v>
      </c>
      <c r="B185" s="37">
        <v>0.1</v>
      </c>
      <c r="C185" s="37">
        <v>0.1</v>
      </c>
      <c r="D185" s="37">
        <v>1</v>
      </c>
      <c r="E185" s="37"/>
      <c r="F185" s="16" t="str">
        <f>IF(AND(B197&gt;B185,B197&lt;B186,C197&lt;C185,D197&lt;D185),"1","0")</f>
        <v>0</v>
      </c>
      <c r="G185" s="273" t="s">
        <v>107</v>
      </c>
      <c r="H185" s="274"/>
      <c r="I185" s="274"/>
      <c r="J185" s="274"/>
      <c r="K185" s="274"/>
      <c r="L185" s="274"/>
      <c r="M185" s="274"/>
      <c r="N185" s="275"/>
    </row>
    <row r="186" spans="1:14" s="5" customFormat="1" ht="15.75" x14ac:dyDescent="0.25">
      <c r="A186" s="8"/>
      <c r="B186" s="37">
        <v>3</v>
      </c>
      <c r="C186" s="37"/>
      <c r="D186" s="37"/>
      <c r="E186" s="37"/>
      <c r="F186" s="16"/>
      <c r="G186" s="273"/>
      <c r="H186" s="274"/>
      <c r="I186" s="274"/>
      <c r="J186" s="274"/>
      <c r="K186" s="274"/>
      <c r="L186" s="274"/>
      <c r="M186" s="274"/>
      <c r="N186" s="275"/>
    </row>
    <row r="187" spans="1:14" s="5" customFormat="1" ht="15.75" x14ac:dyDescent="0.25">
      <c r="A187" s="8" t="s">
        <v>40</v>
      </c>
      <c r="B187" s="37">
        <v>0.1</v>
      </c>
      <c r="C187" s="37">
        <v>0.1</v>
      </c>
      <c r="D187" s="37">
        <v>1</v>
      </c>
      <c r="E187" s="37"/>
      <c r="F187" s="16" t="str">
        <f>IF(AND(B197&gt;B187,C197&gt;C187,C197&lt;C188,D197&gt;D187,D197&lt;D188),"1","0")</f>
        <v>0</v>
      </c>
      <c r="G187" s="273" t="s">
        <v>108</v>
      </c>
      <c r="H187" s="274"/>
      <c r="I187" s="274"/>
      <c r="J187" s="274"/>
      <c r="K187" s="274"/>
      <c r="L187" s="274"/>
      <c r="M187" s="274"/>
      <c r="N187" s="275"/>
    </row>
    <row r="188" spans="1:14" s="5" customFormat="1" ht="15.75" x14ac:dyDescent="0.25">
      <c r="A188" s="8"/>
      <c r="B188" s="37"/>
      <c r="C188" s="37">
        <v>1</v>
      </c>
      <c r="D188" s="37">
        <v>3</v>
      </c>
      <c r="E188" s="37"/>
      <c r="F188" s="16"/>
      <c r="G188" s="273"/>
      <c r="H188" s="274"/>
      <c r="I188" s="274"/>
      <c r="J188" s="274"/>
      <c r="K188" s="274"/>
      <c r="L188" s="274"/>
      <c r="M188" s="274"/>
      <c r="N188" s="275"/>
    </row>
    <row r="189" spans="1:14" s="5" customFormat="1" ht="15.75" x14ac:dyDescent="0.25">
      <c r="A189" s="8" t="s">
        <v>42</v>
      </c>
      <c r="B189" s="37">
        <v>0.1</v>
      </c>
      <c r="C189" s="37">
        <v>0.1</v>
      </c>
      <c r="D189" s="37">
        <v>3</v>
      </c>
      <c r="E189" s="37"/>
      <c r="F189" s="16" t="str">
        <f>IF(AND(B197&gt;B189,B197&lt;B190,C197&gt;C189,C197&lt;C190,D197&gt;D189),"1","0")</f>
        <v>0</v>
      </c>
      <c r="G189" s="273" t="s">
        <v>109</v>
      </c>
      <c r="H189" s="274"/>
      <c r="I189" s="274"/>
      <c r="J189" s="274"/>
      <c r="K189" s="274"/>
      <c r="L189" s="274"/>
      <c r="M189" s="274"/>
      <c r="N189" s="275"/>
    </row>
    <row r="190" spans="1:14" s="5" customFormat="1" ht="15.75" x14ac:dyDescent="0.25">
      <c r="A190" s="8"/>
      <c r="B190" s="37">
        <v>3</v>
      </c>
      <c r="C190" s="37">
        <v>1</v>
      </c>
      <c r="D190" s="37"/>
      <c r="E190" s="37"/>
      <c r="F190" s="16"/>
      <c r="G190" s="273"/>
      <c r="H190" s="274"/>
      <c r="I190" s="274"/>
      <c r="J190" s="274"/>
      <c r="K190" s="274"/>
      <c r="L190" s="274"/>
      <c r="M190" s="274"/>
      <c r="N190" s="275"/>
    </row>
    <row r="191" spans="1:14" s="5" customFormat="1" ht="15.75" x14ac:dyDescent="0.25">
      <c r="A191" s="8" t="s">
        <v>110</v>
      </c>
      <c r="B191" s="37">
        <v>0.1</v>
      </c>
      <c r="C191" s="37">
        <v>0.1</v>
      </c>
      <c r="D191" s="37">
        <v>1</v>
      </c>
      <c r="E191" s="37"/>
      <c r="F191" s="16" t="str">
        <f>IF(AND(B197&lt;B191,C197&gt;C191,C197&lt;C192,D197&gt;D191,D197&lt;D192),"1","0")</f>
        <v>0</v>
      </c>
      <c r="G191" s="273" t="s">
        <v>111</v>
      </c>
      <c r="H191" s="274"/>
      <c r="I191" s="274"/>
      <c r="J191" s="274"/>
      <c r="K191" s="274"/>
      <c r="L191" s="274"/>
      <c r="M191" s="274"/>
      <c r="N191" s="275"/>
    </row>
    <row r="192" spans="1:14" s="5" customFormat="1" ht="15.75" x14ac:dyDescent="0.25">
      <c r="A192" s="8"/>
      <c r="B192" s="37"/>
      <c r="C192" s="37">
        <v>1</v>
      </c>
      <c r="D192" s="37">
        <v>3</v>
      </c>
      <c r="E192" s="37"/>
      <c r="F192" s="16"/>
      <c r="G192" s="273"/>
      <c r="H192" s="274"/>
      <c r="I192" s="274"/>
      <c r="J192" s="274"/>
      <c r="K192" s="274"/>
      <c r="L192" s="274"/>
      <c r="M192" s="274"/>
      <c r="N192" s="275"/>
    </row>
    <row r="193" spans="1:14" s="5" customFormat="1" ht="15.75" x14ac:dyDescent="0.25">
      <c r="A193" s="8" t="s">
        <v>38</v>
      </c>
      <c r="B193" s="37">
        <v>0.1</v>
      </c>
      <c r="C193" s="37">
        <v>1</v>
      </c>
      <c r="D193" s="37">
        <v>1</v>
      </c>
      <c r="E193" s="37"/>
      <c r="F193" s="16" t="str">
        <f>IF(AND(B197&lt;B193,C197&gt;=C193,D197&lt;D193),"1","0")</f>
        <v>0</v>
      </c>
      <c r="G193" s="273" t="s">
        <v>112</v>
      </c>
      <c r="H193" s="274"/>
      <c r="I193" s="274"/>
      <c r="J193" s="274"/>
      <c r="K193" s="274"/>
      <c r="L193" s="274"/>
      <c r="M193" s="274"/>
      <c r="N193" s="275"/>
    </row>
    <row r="194" spans="1:14" s="5" customFormat="1" ht="15.75" x14ac:dyDescent="0.25">
      <c r="A194" s="8" t="s">
        <v>36</v>
      </c>
      <c r="B194" s="37">
        <v>0.1</v>
      </c>
      <c r="C194" s="37">
        <v>1</v>
      </c>
      <c r="D194" s="37">
        <v>1</v>
      </c>
      <c r="E194" s="37"/>
      <c r="F194" s="16" t="str">
        <f>IF(AND(B197&lt;B194,C197&gt;C194,D197&gt;D194,D197&lt;D195),"1","0")</f>
        <v>1</v>
      </c>
      <c r="G194" s="273" t="s">
        <v>113</v>
      </c>
      <c r="H194" s="274"/>
      <c r="I194" s="274"/>
      <c r="J194" s="274"/>
      <c r="K194" s="274"/>
      <c r="L194" s="274"/>
      <c r="M194" s="274"/>
      <c r="N194" s="275"/>
    </row>
    <row r="195" spans="1:14" s="5" customFormat="1" ht="15.75" x14ac:dyDescent="0.25">
      <c r="A195" s="8"/>
      <c r="B195" s="37"/>
      <c r="C195" s="37"/>
      <c r="D195" s="37">
        <v>3</v>
      </c>
      <c r="E195" s="37"/>
      <c r="F195" s="16"/>
      <c r="G195" s="273"/>
      <c r="H195" s="274"/>
      <c r="I195" s="274"/>
      <c r="J195" s="274"/>
      <c r="K195" s="274"/>
      <c r="L195" s="274"/>
      <c r="M195" s="274"/>
      <c r="N195" s="275"/>
    </row>
    <row r="196" spans="1:14" s="5" customFormat="1" ht="15.75" x14ac:dyDescent="0.25">
      <c r="A196" s="8" t="s">
        <v>34</v>
      </c>
      <c r="B196" s="37">
        <v>0.1</v>
      </c>
      <c r="C196" s="37">
        <v>1</v>
      </c>
      <c r="D196" s="37">
        <v>3</v>
      </c>
      <c r="E196" s="37"/>
      <c r="F196" s="16" t="str">
        <f>IF(AND(B197&lt;B196,C197&gt;C196,D197&gt;D196),"1","0")</f>
        <v>0</v>
      </c>
      <c r="G196" s="273" t="s">
        <v>114</v>
      </c>
      <c r="H196" s="274"/>
      <c r="I196" s="274"/>
      <c r="J196" s="274"/>
      <c r="K196" s="274"/>
      <c r="L196" s="274"/>
      <c r="M196" s="274"/>
      <c r="N196" s="275"/>
    </row>
    <row r="197" spans="1:14" s="5" customFormat="1" ht="15.75" x14ac:dyDescent="0.25">
      <c r="A197" s="57" t="s">
        <v>92</v>
      </c>
      <c r="B197" s="58">
        <f>MBA!D190</f>
        <v>0</v>
      </c>
      <c r="C197" s="58">
        <f>MBA!D189</f>
        <v>7.8787878787878789</v>
      </c>
      <c r="D197" s="58">
        <f>MBA!D193</f>
        <v>2.9513108614232211</v>
      </c>
      <c r="E197" s="58"/>
      <c r="F197" s="59">
        <f>F182+F184+F185+F187+F189+F191+F193+F194+F196</f>
        <v>1</v>
      </c>
      <c r="G197" s="33"/>
      <c r="H197" s="45"/>
      <c r="I197" s="45"/>
      <c r="J197" s="45"/>
    </row>
    <row r="198" spans="1:14" s="5" customFormat="1" ht="15.75" x14ac:dyDescent="0.25">
      <c r="A198" s="22" t="s">
        <v>55</v>
      </c>
      <c r="B198" s="291"/>
      <c r="C198" s="292"/>
      <c r="D198" s="292"/>
      <c r="E198" s="292"/>
      <c r="F198" s="292"/>
      <c r="G198" s="292"/>
      <c r="H198" s="292"/>
      <c r="I198" s="292"/>
      <c r="J198" s="292"/>
      <c r="K198" s="292"/>
      <c r="L198" s="292"/>
      <c r="M198" s="292"/>
      <c r="N198" s="409"/>
    </row>
    <row r="199" spans="1:14" s="5" customFormat="1" ht="15.75" x14ac:dyDescent="0.25"/>
    <row r="202" spans="1:14" ht="18" x14ac:dyDescent="0.25">
      <c r="A202" s="218" t="s">
        <v>411</v>
      </c>
      <c r="B202">
        <v>0</v>
      </c>
      <c r="C202">
        <v>0</v>
      </c>
      <c r="I202" t="s">
        <v>264</v>
      </c>
    </row>
    <row r="203" spans="1:14" ht="18" x14ac:dyDescent="0.25">
      <c r="B203">
        <v>1</v>
      </c>
      <c r="C203">
        <v>0</v>
      </c>
      <c r="J203" s="149">
        <v>0.1</v>
      </c>
      <c r="K203" s="149">
        <v>0</v>
      </c>
      <c r="L203" s="149">
        <f t="shared" ref="L203:L255" si="5">1-J203-K203</f>
        <v>0.9</v>
      </c>
      <c r="M203" s="150">
        <f t="shared" ref="M203:M254" si="6">K203+J203/2</f>
        <v>0.05</v>
      </c>
      <c r="N203" s="150">
        <f t="shared" ref="N203:N254" si="7">J203*0.866025</f>
        <v>8.6602500000000013E-2</v>
      </c>
    </row>
    <row r="204" spans="1:14" ht="18" x14ac:dyDescent="0.25">
      <c r="B204">
        <v>0.5</v>
      </c>
      <c r="C204">
        <v>0.86602500000000004</v>
      </c>
      <c r="H204" s="162" t="s">
        <v>2</v>
      </c>
      <c r="I204" s="156">
        <f>MBA!O197</f>
        <v>8.6387434554973816E-2</v>
      </c>
      <c r="J204" s="149">
        <v>0.1</v>
      </c>
      <c r="K204" s="149">
        <v>0.9</v>
      </c>
      <c r="L204" s="149">
        <f t="shared" si="5"/>
        <v>0</v>
      </c>
      <c r="M204" s="150">
        <f t="shared" si="6"/>
        <v>0.95000000000000007</v>
      </c>
      <c r="N204" s="150">
        <f t="shared" si="7"/>
        <v>8.6602500000000013E-2</v>
      </c>
    </row>
    <row r="205" spans="1:14" ht="18" x14ac:dyDescent="0.25">
      <c r="B205">
        <v>0</v>
      </c>
      <c r="C205">
        <v>0</v>
      </c>
      <c r="H205" s="162" t="s">
        <v>3</v>
      </c>
      <c r="I205" s="163">
        <f>MBA!O198</f>
        <v>0.68062827225130895</v>
      </c>
      <c r="J205" s="149">
        <v>0.2</v>
      </c>
      <c r="K205" s="149">
        <v>0.8</v>
      </c>
      <c r="L205" s="149">
        <f t="shared" si="5"/>
        <v>0</v>
      </c>
      <c r="M205" s="150">
        <f t="shared" si="6"/>
        <v>0.9</v>
      </c>
      <c r="N205" s="150">
        <f t="shared" si="7"/>
        <v>0.17320500000000003</v>
      </c>
    </row>
    <row r="206" spans="1:14" ht="18" x14ac:dyDescent="0.25">
      <c r="F206" s="151" t="s">
        <v>79</v>
      </c>
      <c r="G206" s="151" t="s">
        <v>80</v>
      </c>
      <c r="H206" s="163" t="s">
        <v>5</v>
      </c>
      <c r="I206" s="156">
        <f>MBA!O199</f>
        <v>0.23298429319371727</v>
      </c>
      <c r="J206" s="149">
        <v>0.2</v>
      </c>
      <c r="K206" s="149">
        <v>0</v>
      </c>
      <c r="L206" s="149">
        <f t="shared" si="5"/>
        <v>0.8</v>
      </c>
      <c r="M206" s="150">
        <f t="shared" si="6"/>
        <v>0.1</v>
      </c>
      <c r="N206" s="150">
        <f t="shared" si="7"/>
        <v>0.17320500000000003</v>
      </c>
    </row>
    <row r="207" spans="1:14" ht="18" x14ac:dyDescent="0.25">
      <c r="A207" t="s">
        <v>265</v>
      </c>
      <c r="B207" t="s">
        <v>266</v>
      </c>
      <c r="C207" s="90" t="s">
        <v>2</v>
      </c>
      <c r="D207" s="90" t="s">
        <v>3</v>
      </c>
      <c r="E207" s="90" t="s">
        <v>5</v>
      </c>
      <c r="J207" s="149">
        <v>0.3</v>
      </c>
      <c r="K207" s="149">
        <v>0</v>
      </c>
      <c r="L207" s="149">
        <f t="shared" si="5"/>
        <v>0.7</v>
      </c>
      <c r="M207" s="150">
        <f t="shared" si="6"/>
        <v>0.15</v>
      </c>
      <c r="N207" s="150">
        <f t="shared" si="7"/>
        <v>0.25980750000000002</v>
      </c>
    </row>
    <row r="208" spans="1:14" ht="18" x14ac:dyDescent="0.25">
      <c r="A208" s="375" t="s">
        <v>32</v>
      </c>
      <c r="B208" s="92" t="s">
        <v>267</v>
      </c>
      <c r="C208" s="19">
        <v>0.98</v>
      </c>
      <c r="D208" s="19">
        <v>0.02</v>
      </c>
      <c r="E208" s="19">
        <v>0</v>
      </c>
      <c r="F208" s="156">
        <f>D208+C208/2</f>
        <v>0.51</v>
      </c>
      <c r="G208" s="156">
        <f>C208*0.866025</f>
        <v>0.84870450000000008</v>
      </c>
      <c r="H208" s="154" t="s">
        <v>32</v>
      </c>
      <c r="I208" s="92" t="str">
        <f>IF(OR(AND(I205&gt;0.02,I206&lt;0.01),AND(I205&lt;=0.15,I206&lt;0.01)),"True","")</f>
        <v/>
      </c>
      <c r="J208" s="149">
        <v>0.3</v>
      </c>
      <c r="K208" s="149">
        <v>0.7</v>
      </c>
      <c r="L208" s="149">
        <f t="shared" si="5"/>
        <v>0</v>
      </c>
      <c r="M208" s="150">
        <f t="shared" si="6"/>
        <v>0.85</v>
      </c>
      <c r="N208" s="150">
        <f t="shared" si="7"/>
        <v>0.25980750000000002</v>
      </c>
    </row>
    <row r="209" spans="1:14" ht="18" x14ac:dyDescent="0.25">
      <c r="A209" s="376"/>
      <c r="B209" s="92" t="s">
        <v>268</v>
      </c>
      <c r="C209" s="19">
        <v>0.97</v>
      </c>
      <c r="D209" s="19">
        <v>0.02</v>
      </c>
      <c r="E209" s="19">
        <v>0.01</v>
      </c>
      <c r="F209" s="156">
        <f t="shared" ref="F209:F236" si="8">D209+C209/2</f>
        <v>0.505</v>
      </c>
      <c r="G209" s="156">
        <f t="shared" ref="G209:G236" si="9">C209*0.866025</f>
        <v>0.84004425000000005</v>
      </c>
      <c r="H209" s="154" t="s">
        <v>271</v>
      </c>
      <c r="I209" s="92" t="str">
        <f>IF(AND(I204&lt;=0.09,I206&gt;=0.3),"True","")</f>
        <v/>
      </c>
      <c r="J209" s="149">
        <v>0.4</v>
      </c>
      <c r="K209" s="149">
        <v>0.6</v>
      </c>
      <c r="L209" s="149">
        <f t="shared" si="5"/>
        <v>0</v>
      </c>
      <c r="M209" s="150">
        <f t="shared" si="6"/>
        <v>0.8</v>
      </c>
      <c r="N209" s="150">
        <f t="shared" si="7"/>
        <v>0.34641000000000005</v>
      </c>
    </row>
    <row r="210" spans="1:14" ht="18" x14ac:dyDescent="0.25">
      <c r="A210" s="376"/>
      <c r="B210" s="92" t="s">
        <v>269</v>
      </c>
      <c r="C210" s="19">
        <v>0.84</v>
      </c>
      <c r="D210" s="19">
        <v>0.15</v>
      </c>
      <c r="E210" s="19">
        <v>0.01</v>
      </c>
      <c r="F210" s="156">
        <f t="shared" si="8"/>
        <v>0.56999999999999995</v>
      </c>
      <c r="G210" s="156">
        <f t="shared" si="9"/>
        <v>0.72746100000000002</v>
      </c>
      <c r="H210" s="154" t="s">
        <v>276</v>
      </c>
      <c r="I210" s="92" t="str">
        <f>IF(AND(I204&gt;=0.09,I204&lt;=0.54,I206&gt;=0.46,I206&lt;=0.91),"True","")</f>
        <v/>
      </c>
      <c r="J210" s="149">
        <v>0.4</v>
      </c>
      <c r="K210" s="149">
        <v>0</v>
      </c>
      <c r="L210" s="149">
        <f t="shared" si="5"/>
        <v>0.6</v>
      </c>
      <c r="M210" s="150">
        <f t="shared" si="6"/>
        <v>0.2</v>
      </c>
      <c r="N210" s="150">
        <f t="shared" si="7"/>
        <v>0.34641000000000005</v>
      </c>
    </row>
    <row r="211" spans="1:14" ht="18" x14ac:dyDescent="0.25">
      <c r="A211" s="377"/>
      <c r="B211" s="92" t="s">
        <v>270</v>
      </c>
      <c r="C211" s="19">
        <v>0.85</v>
      </c>
      <c r="D211" s="19">
        <v>0.15</v>
      </c>
      <c r="E211" s="19">
        <v>0</v>
      </c>
      <c r="F211" s="156">
        <f t="shared" si="8"/>
        <v>0.57499999999999996</v>
      </c>
      <c r="G211" s="156">
        <f t="shared" si="9"/>
        <v>0.73612125000000006</v>
      </c>
      <c r="H211" s="154" t="s">
        <v>293</v>
      </c>
      <c r="I211" s="92" t="str">
        <f>IF(OR(AND(I205&gt;=0.36,I206&lt;=0.24),AND(I204&lt;=0.15,I206&gt;0.24,I206&lt;=0.3)),"True","")</f>
        <v>True</v>
      </c>
      <c r="J211" s="149">
        <v>0.5</v>
      </c>
      <c r="K211" s="149">
        <v>0</v>
      </c>
      <c r="L211" s="149">
        <f t="shared" si="5"/>
        <v>0.5</v>
      </c>
      <c r="M211" s="150">
        <f t="shared" si="6"/>
        <v>0.25</v>
      </c>
      <c r="N211" s="150">
        <f t="shared" si="7"/>
        <v>0.43301250000000002</v>
      </c>
    </row>
    <row r="212" spans="1:14" ht="18" x14ac:dyDescent="0.25">
      <c r="A212" s="410" t="s">
        <v>271</v>
      </c>
      <c r="B212" s="153" t="s">
        <v>272</v>
      </c>
      <c r="C212" s="154">
        <v>0</v>
      </c>
      <c r="D212" s="154">
        <v>0</v>
      </c>
      <c r="E212" s="154">
        <v>1</v>
      </c>
      <c r="F212" s="156">
        <f t="shared" si="8"/>
        <v>0</v>
      </c>
      <c r="G212" s="156">
        <f t="shared" si="9"/>
        <v>0</v>
      </c>
      <c r="H212" s="154" t="s">
        <v>280</v>
      </c>
      <c r="I212" s="92" t="str">
        <f>IF(OR(AND(I204&gt;=0.09,I206&gt;=0.3,I206&lt;0.46),AND(I204&gt;=0.15,I206&gt;=0.24,I206&lt;0.3),AND(I205&lt;0.36,I206&gt;=0.01,I206&lt;0.24),AND(I205&lt;0.36,I205&gt;=0.15,I206&lt;0.01),AND(I205&lt;0.02,I206&lt;0.01)),"True","")</f>
        <v/>
      </c>
      <c r="J212" s="149">
        <v>0.5</v>
      </c>
      <c r="K212" s="149">
        <v>0.5</v>
      </c>
      <c r="L212" s="149">
        <f t="shared" si="5"/>
        <v>0</v>
      </c>
      <c r="M212" s="150">
        <f t="shared" si="6"/>
        <v>0.75</v>
      </c>
      <c r="N212" s="150">
        <f t="shared" si="7"/>
        <v>0.43301250000000002</v>
      </c>
    </row>
    <row r="213" spans="1:14" ht="18" x14ac:dyDescent="0.25">
      <c r="A213" s="411"/>
      <c r="B213" s="153" t="s">
        <v>273</v>
      </c>
      <c r="C213" s="154">
        <v>0</v>
      </c>
      <c r="D213" s="154">
        <v>0.7</v>
      </c>
      <c r="E213" s="154">
        <v>0.3</v>
      </c>
      <c r="F213" s="156">
        <f t="shared" si="8"/>
        <v>0.7</v>
      </c>
      <c r="G213" s="156">
        <f t="shared" si="9"/>
        <v>0</v>
      </c>
      <c r="I213" s="164" t="str">
        <f>INDEX($H$208:$H$212,MATCH("True",$I$208:$I$212,0))</f>
        <v>C</v>
      </c>
      <c r="J213" s="149">
        <v>0.6</v>
      </c>
      <c r="K213" s="149">
        <v>0.4</v>
      </c>
      <c r="L213" s="149">
        <f t="shared" si="5"/>
        <v>0</v>
      </c>
      <c r="M213" s="150">
        <f t="shared" si="6"/>
        <v>0.7</v>
      </c>
      <c r="N213" s="150">
        <f t="shared" si="7"/>
        <v>0.51961500000000005</v>
      </c>
    </row>
    <row r="214" spans="1:14" ht="18" x14ac:dyDescent="0.25">
      <c r="A214" s="411"/>
      <c r="B214" s="153" t="s">
        <v>274</v>
      </c>
      <c r="C214" s="154">
        <v>0.09</v>
      </c>
      <c r="D214" s="154">
        <v>0.61</v>
      </c>
      <c r="E214" s="154">
        <v>0.3</v>
      </c>
      <c r="F214" s="156">
        <f t="shared" si="8"/>
        <v>0.65500000000000003</v>
      </c>
      <c r="G214" s="156">
        <f t="shared" si="9"/>
        <v>7.7942250000000005E-2</v>
      </c>
      <c r="I214" s="28"/>
      <c r="J214" s="149">
        <v>0.6</v>
      </c>
      <c r="K214" s="149">
        <v>0</v>
      </c>
      <c r="L214" s="149">
        <f t="shared" si="5"/>
        <v>0.4</v>
      </c>
      <c r="M214" s="150">
        <f t="shared" si="6"/>
        <v>0.3</v>
      </c>
      <c r="N214" s="150">
        <f t="shared" si="7"/>
        <v>0.51961500000000005</v>
      </c>
    </row>
    <row r="215" spans="1:14" ht="18" x14ac:dyDescent="0.25">
      <c r="A215" s="412"/>
      <c r="B215" s="153" t="s">
        <v>275</v>
      </c>
      <c r="C215" s="154">
        <v>0.09</v>
      </c>
      <c r="D215" s="154">
        <v>0</v>
      </c>
      <c r="E215" s="154">
        <v>0.91</v>
      </c>
      <c r="F215" s="156">
        <f t="shared" si="8"/>
        <v>4.4999999999999998E-2</v>
      </c>
      <c r="G215" s="156">
        <f t="shared" si="9"/>
        <v>7.7942250000000005E-2</v>
      </c>
      <c r="J215" s="149">
        <v>0.7</v>
      </c>
      <c r="K215" s="149">
        <v>0</v>
      </c>
      <c r="L215" s="149">
        <f t="shared" si="5"/>
        <v>0.30000000000000004</v>
      </c>
      <c r="M215" s="150">
        <f t="shared" si="6"/>
        <v>0.35</v>
      </c>
      <c r="N215" s="150">
        <f t="shared" si="7"/>
        <v>0.60621749999999996</v>
      </c>
    </row>
    <row r="216" spans="1:14" ht="18" x14ac:dyDescent="0.25">
      <c r="A216" s="410" t="s">
        <v>276</v>
      </c>
      <c r="B216" s="153" t="s">
        <v>277</v>
      </c>
      <c r="C216" s="155">
        <v>0.09</v>
      </c>
      <c r="D216" s="155">
        <v>0</v>
      </c>
      <c r="E216" s="155">
        <v>0.91</v>
      </c>
      <c r="F216" s="156">
        <f t="shared" si="8"/>
        <v>4.4999999999999998E-2</v>
      </c>
      <c r="G216" s="156">
        <f t="shared" si="9"/>
        <v>7.7942250000000005E-2</v>
      </c>
      <c r="I216" t="str">
        <f>IF(AND(0.15&gt;I205&lt;=0.36,I206&lt;0.24),"S","")</f>
        <v/>
      </c>
      <c r="J216" s="149">
        <v>0.7</v>
      </c>
      <c r="K216" s="149">
        <v>0.3</v>
      </c>
      <c r="L216" s="149">
        <f t="shared" si="5"/>
        <v>0</v>
      </c>
      <c r="M216" s="150">
        <f t="shared" si="6"/>
        <v>0.64999999999999991</v>
      </c>
      <c r="N216" s="150">
        <f t="shared" si="7"/>
        <v>0.60621749999999996</v>
      </c>
    </row>
    <row r="217" spans="1:14" ht="18" x14ac:dyDescent="0.25">
      <c r="A217" s="411"/>
      <c r="B217" s="153" t="s">
        <v>278</v>
      </c>
      <c r="C217" s="155">
        <v>0.09</v>
      </c>
      <c r="D217" s="155">
        <v>0.44</v>
      </c>
      <c r="E217" s="155">
        <v>0.46</v>
      </c>
      <c r="F217" s="156">
        <f t="shared" si="8"/>
        <v>0.48499999999999999</v>
      </c>
      <c r="G217" s="156">
        <f t="shared" si="9"/>
        <v>7.7942250000000005E-2</v>
      </c>
      <c r="J217" s="149">
        <v>0.8</v>
      </c>
      <c r="K217" s="149">
        <v>0.2</v>
      </c>
      <c r="L217" s="149">
        <f t="shared" si="5"/>
        <v>0</v>
      </c>
      <c r="M217" s="150">
        <f t="shared" si="6"/>
        <v>0.60000000000000009</v>
      </c>
      <c r="N217" s="150">
        <f t="shared" si="7"/>
        <v>0.6928200000000001</v>
      </c>
    </row>
    <row r="218" spans="1:14" ht="18" x14ac:dyDescent="0.25">
      <c r="A218" s="412"/>
      <c r="B218" s="153" t="s">
        <v>279</v>
      </c>
      <c r="C218" s="155">
        <v>0.54</v>
      </c>
      <c r="D218" s="155">
        <v>0</v>
      </c>
      <c r="E218" s="155">
        <v>0.46</v>
      </c>
      <c r="F218" s="156">
        <f t="shared" si="8"/>
        <v>0.27</v>
      </c>
      <c r="G218" s="156">
        <f t="shared" si="9"/>
        <v>0.46765350000000006</v>
      </c>
      <c r="J218" s="149">
        <v>0.8</v>
      </c>
      <c r="K218" s="149">
        <v>0</v>
      </c>
      <c r="L218" s="149">
        <f t="shared" si="5"/>
        <v>0.19999999999999996</v>
      </c>
      <c r="M218" s="150">
        <f t="shared" si="6"/>
        <v>0.4</v>
      </c>
      <c r="N218" s="150">
        <f t="shared" si="7"/>
        <v>0.6928200000000001</v>
      </c>
    </row>
    <row r="219" spans="1:14" ht="18" x14ac:dyDescent="0.25">
      <c r="A219" s="410" t="s">
        <v>280</v>
      </c>
      <c r="B219" s="153" t="s">
        <v>281</v>
      </c>
      <c r="C219" s="155">
        <v>0.09</v>
      </c>
      <c r="D219" s="155">
        <v>0.44</v>
      </c>
      <c r="E219" s="155">
        <v>0.46</v>
      </c>
      <c r="F219" s="156">
        <f t="shared" si="8"/>
        <v>0.48499999999999999</v>
      </c>
      <c r="G219" s="156">
        <f t="shared" si="9"/>
        <v>7.7942250000000005E-2</v>
      </c>
      <c r="J219" s="149">
        <v>0.9</v>
      </c>
      <c r="K219" s="149">
        <v>0</v>
      </c>
      <c r="L219" s="149">
        <f t="shared" si="5"/>
        <v>9.9999999999999978E-2</v>
      </c>
      <c r="M219" s="150">
        <f t="shared" si="6"/>
        <v>0.45</v>
      </c>
      <c r="N219" s="150">
        <f t="shared" si="7"/>
        <v>0.77942250000000002</v>
      </c>
    </row>
    <row r="220" spans="1:14" ht="18" x14ac:dyDescent="0.25">
      <c r="A220" s="411"/>
      <c r="B220" s="153" t="s">
        <v>282</v>
      </c>
      <c r="C220" s="155">
        <v>0.09</v>
      </c>
      <c r="D220" s="155">
        <v>0.61</v>
      </c>
      <c r="E220" s="155">
        <v>0.3</v>
      </c>
      <c r="F220" s="156">
        <f t="shared" si="8"/>
        <v>0.65500000000000003</v>
      </c>
      <c r="G220" s="156">
        <f t="shared" si="9"/>
        <v>7.7942250000000005E-2</v>
      </c>
      <c r="J220" s="149">
        <v>0.9</v>
      </c>
      <c r="K220" s="149">
        <v>0.1</v>
      </c>
      <c r="L220" s="149">
        <f t="shared" si="5"/>
        <v>0</v>
      </c>
      <c r="M220" s="150">
        <f t="shared" si="6"/>
        <v>0.55000000000000004</v>
      </c>
      <c r="N220" s="150">
        <f t="shared" si="7"/>
        <v>0.77942250000000002</v>
      </c>
    </row>
    <row r="221" spans="1:14" ht="18" x14ac:dyDescent="0.25">
      <c r="A221" s="411"/>
      <c r="B221" s="153" t="s">
        <v>283</v>
      </c>
      <c r="C221" s="155">
        <v>0.15</v>
      </c>
      <c r="D221" s="155">
        <v>0.55000000000000004</v>
      </c>
      <c r="E221" s="155">
        <v>0.3</v>
      </c>
      <c r="F221" s="156">
        <f t="shared" si="8"/>
        <v>0.625</v>
      </c>
      <c r="G221" s="156">
        <f t="shared" si="9"/>
        <v>0.12990375000000001</v>
      </c>
      <c r="J221" s="149">
        <v>0</v>
      </c>
      <c r="K221" s="149">
        <v>0.1</v>
      </c>
      <c r="L221" s="149">
        <f t="shared" si="5"/>
        <v>0.9</v>
      </c>
      <c r="M221" s="150">
        <f t="shared" si="6"/>
        <v>0.1</v>
      </c>
      <c r="N221" s="150">
        <f t="shared" si="7"/>
        <v>0</v>
      </c>
    </row>
    <row r="222" spans="1:14" ht="18" x14ac:dyDescent="0.25">
      <c r="A222" s="411"/>
      <c r="B222" s="153" t="s">
        <v>284</v>
      </c>
      <c r="C222" s="155">
        <v>0.15</v>
      </c>
      <c r="D222" s="155">
        <v>0.61</v>
      </c>
      <c r="E222" s="155">
        <v>0.24</v>
      </c>
      <c r="F222" s="156">
        <f t="shared" si="8"/>
        <v>0.68499999999999994</v>
      </c>
      <c r="G222" s="156">
        <f t="shared" si="9"/>
        <v>0.12990375000000001</v>
      </c>
      <c r="J222" s="149">
        <v>0</v>
      </c>
      <c r="K222" s="149">
        <v>0.2</v>
      </c>
      <c r="L222" s="149">
        <f t="shared" si="5"/>
        <v>0.8</v>
      </c>
      <c r="M222" s="150">
        <f t="shared" si="6"/>
        <v>0.2</v>
      </c>
      <c r="N222" s="150">
        <f t="shared" si="7"/>
        <v>0</v>
      </c>
    </row>
    <row r="223" spans="1:14" ht="18" x14ac:dyDescent="0.25">
      <c r="A223" s="411"/>
      <c r="B223" s="153" t="s">
        <v>285</v>
      </c>
      <c r="C223" s="155">
        <v>0.4</v>
      </c>
      <c r="D223" s="155">
        <v>0.36</v>
      </c>
      <c r="E223" s="155">
        <v>0.24</v>
      </c>
      <c r="F223" s="156">
        <f t="shared" si="8"/>
        <v>0.56000000000000005</v>
      </c>
      <c r="G223" s="156">
        <f t="shared" si="9"/>
        <v>0.34641000000000005</v>
      </c>
      <c r="J223" s="149">
        <v>0.8</v>
      </c>
      <c r="K223" s="149">
        <v>0.2</v>
      </c>
      <c r="L223" s="149">
        <f t="shared" si="5"/>
        <v>0</v>
      </c>
      <c r="M223" s="150">
        <f t="shared" si="6"/>
        <v>0.60000000000000009</v>
      </c>
      <c r="N223" s="150">
        <f t="shared" si="7"/>
        <v>0.6928200000000001</v>
      </c>
    </row>
    <row r="224" spans="1:14" ht="18" x14ac:dyDescent="0.25">
      <c r="A224" s="411"/>
      <c r="B224" s="153" t="s">
        <v>286</v>
      </c>
      <c r="C224" s="155">
        <v>0.64</v>
      </c>
      <c r="D224" s="155">
        <v>0.36</v>
      </c>
      <c r="E224" s="155">
        <v>0</v>
      </c>
      <c r="F224" s="156">
        <f t="shared" si="8"/>
        <v>0.67999999999999994</v>
      </c>
      <c r="G224" s="156">
        <f t="shared" si="9"/>
        <v>0.55425600000000008</v>
      </c>
      <c r="J224" s="149">
        <v>0.7</v>
      </c>
      <c r="K224" s="149">
        <v>0.3</v>
      </c>
      <c r="L224" s="149">
        <f t="shared" si="5"/>
        <v>0</v>
      </c>
      <c r="M224" s="150">
        <f t="shared" si="6"/>
        <v>0.64999999999999991</v>
      </c>
      <c r="N224" s="150">
        <f t="shared" si="7"/>
        <v>0.60621749999999996</v>
      </c>
    </row>
    <row r="225" spans="1:14" ht="18" x14ac:dyDescent="0.25">
      <c r="A225" s="411"/>
      <c r="B225" s="153" t="s">
        <v>287</v>
      </c>
      <c r="C225" s="155">
        <v>0.85</v>
      </c>
      <c r="D225" s="155">
        <v>0.15</v>
      </c>
      <c r="E225" s="155">
        <v>0</v>
      </c>
      <c r="F225" s="156">
        <f t="shared" si="8"/>
        <v>0.57499999999999996</v>
      </c>
      <c r="G225" s="156">
        <f t="shared" si="9"/>
        <v>0.73612125000000006</v>
      </c>
      <c r="J225" s="149">
        <v>0</v>
      </c>
      <c r="K225" s="149">
        <v>0.3</v>
      </c>
      <c r="L225" s="149">
        <f t="shared" si="5"/>
        <v>0.7</v>
      </c>
      <c r="M225" s="150">
        <f t="shared" si="6"/>
        <v>0.3</v>
      </c>
      <c r="N225" s="150">
        <f t="shared" si="7"/>
        <v>0</v>
      </c>
    </row>
    <row r="226" spans="1:14" ht="18" x14ac:dyDescent="0.25">
      <c r="A226" s="411"/>
      <c r="B226" s="153" t="s">
        <v>288</v>
      </c>
      <c r="C226" s="155">
        <v>0.84</v>
      </c>
      <c r="D226" s="155">
        <v>0.15</v>
      </c>
      <c r="E226" s="155">
        <v>0.01</v>
      </c>
      <c r="F226" s="156">
        <f t="shared" si="8"/>
        <v>0.56999999999999995</v>
      </c>
      <c r="G226" s="156">
        <f t="shared" si="9"/>
        <v>0.72746100000000002</v>
      </c>
      <c r="J226" s="149">
        <v>0</v>
      </c>
      <c r="K226" s="149">
        <v>0.4</v>
      </c>
      <c r="L226" s="149">
        <f t="shared" si="5"/>
        <v>0.6</v>
      </c>
      <c r="M226" s="150">
        <f t="shared" si="6"/>
        <v>0.4</v>
      </c>
      <c r="N226" s="150">
        <f t="shared" si="7"/>
        <v>0</v>
      </c>
    </row>
    <row r="227" spans="1:14" ht="18" x14ac:dyDescent="0.25">
      <c r="A227" s="411"/>
      <c r="B227" s="153" t="s">
        <v>289</v>
      </c>
      <c r="C227" s="155">
        <v>0.97</v>
      </c>
      <c r="D227" s="155">
        <v>0.02</v>
      </c>
      <c r="E227" s="155">
        <v>0.01</v>
      </c>
      <c r="F227" s="156">
        <f t="shared" si="8"/>
        <v>0.505</v>
      </c>
      <c r="G227" s="156">
        <f t="shared" si="9"/>
        <v>0.84004425000000005</v>
      </c>
      <c r="J227" s="149">
        <v>0.6</v>
      </c>
      <c r="K227" s="149">
        <v>0.4</v>
      </c>
      <c r="L227" s="149">
        <f t="shared" si="5"/>
        <v>0</v>
      </c>
      <c r="M227" s="150">
        <f t="shared" si="6"/>
        <v>0.7</v>
      </c>
      <c r="N227" s="150">
        <f t="shared" si="7"/>
        <v>0.51961500000000005</v>
      </c>
    </row>
    <row r="228" spans="1:14" ht="18" x14ac:dyDescent="0.25">
      <c r="A228" s="411"/>
      <c r="B228" s="153" t="s">
        <v>290</v>
      </c>
      <c r="C228" s="155">
        <v>0.98</v>
      </c>
      <c r="D228" s="155">
        <v>0.02</v>
      </c>
      <c r="E228" s="155">
        <v>0</v>
      </c>
      <c r="F228" s="156">
        <f t="shared" si="8"/>
        <v>0.51</v>
      </c>
      <c r="G228" s="156">
        <f t="shared" si="9"/>
        <v>0.84870450000000008</v>
      </c>
      <c r="J228" s="149">
        <v>0.5</v>
      </c>
      <c r="K228" s="149">
        <v>0.5</v>
      </c>
      <c r="L228" s="149">
        <f t="shared" si="5"/>
        <v>0</v>
      </c>
      <c r="M228" s="150">
        <f t="shared" si="6"/>
        <v>0.75</v>
      </c>
      <c r="N228" s="150">
        <f t="shared" si="7"/>
        <v>0.43301250000000002</v>
      </c>
    </row>
    <row r="229" spans="1:14" ht="18" x14ac:dyDescent="0.25">
      <c r="A229" s="411"/>
      <c r="B229" s="153" t="s">
        <v>291</v>
      </c>
      <c r="C229" s="155">
        <v>1</v>
      </c>
      <c r="D229" s="155">
        <v>0</v>
      </c>
      <c r="E229" s="155">
        <v>0</v>
      </c>
      <c r="F229" s="156">
        <f t="shared" si="8"/>
        <v>0.5</v>
      </c>
      <c r="G229" s="156">
        <f t="shared" si="9"/>
        <v>0.86602500000000004</v>
      </c>
      <c r="J229" s="149">
        <v>0</v>
      </c>
      <c r="K229" s="149">
        <v>0.5</v>
      </c>
      <c r="L229" s="149">
        <f t="shared" si="5"/>
        <v>0.5</v>
      </c>
      <c r="M229" s="150">
        <f t="shared" si="6"/>
        <v>0.5</v>
      </c>
      <c r="N229" s="150">
        <f t="shared" si="7"/>
        <v>0</v>
      </c>
    </row>
    <row r="230" spans="1:14" ht="18" x14ac:dyDescent="0.25">
      <c r="A230" s="412"/>
      <c r="B230" s="153" t="s">
        <v>292</v>
      </c>
      <c r="C230" s="155">
        <v>0.64</v>
      </c>
      <c r="D230" s="155">
        <v>0</v>
      </c>
      <c r="E230" s="155">
        <v>0.46</v>
      </c>
      <c r="F230" s="156">
        <f t="shared" si="8"/>
        <v>0.32</v>
      </c>
      <c r="G230" s="156">
        <f t="shared" si="9"/>
        <v>0.55425600000000008</v>
      </c>
      <c r="J230" s="149">
        <v>0</v>
      </c>
      <c r="K230" s="149">
        <v>0.6</v>
      </c>
      <c r="L230" s="149">
        <f t="shared" si="5"/>
        <v>0.4</v>
      </c>
      <c r="M230" s="150">
        <f t="shared" si="6"/>
        <v>0.6</v>
      </c>
      <c r="N230" s="150">
        <f t="shared" si="7"/>
        <v>0</v>
      </c>
    </row>
    <row r="231" spans="1:14" ht="18" x14ac:dyDescent="0.25">
      <c r="A231" s="410" t="s">
        <v>293</v>
      </c>
      <c r="B231" s="153" t="s">
        <v>294</v>
      </c>
      <c r="C231" s="152">
        <v>0</v>
      </c>
      <c r="D231" s="152">
        <v>0.7</v>
      </c>
      <c r="E231" s="152">
        <v>0.3</v>
      </c>
      <c r="F231" s="156">
        <f t="shared" si="8"/>
        <v>0.7</v>
      </c>
      <c r="G231" s="156">
        <f t="shared" si="9"/>
        <v>0</v>
      </c>
      <c r="J231" s="149">
        <v>0.4</v>
      </c>
      <c r="K231" s="149">
        <v>0.6</v>
      </c>
      <c r="L231" s="149">
        <f t="shared" si="5"/>
        <v>0</v>
      </c>
      <c r="M231" s="150">
        <f t="shared" si="6"/>
        <v>0.8</v>
      </c>
      <c r="N231" s="150">
        <f t="shared" si="7"/>
        <v>0.34641000000000005</v>
      </c>
    </row>
    <row r="232" spans="1:14" ht="18" x14ac:dyDescent="0.25">
      <c r="A232" s="411"/>
      <c r="B232" s="153" t="s">
        <v>295</v>
      </c>
      <c r="C232" s="152">
        <v>0</v>
      </c>
      <c r="D232" s="152">
        <v>0</v>
      </c>
      <c r="E232" s="152">
        <v>1</v>
      </c>
      <c r="F232" s="156">
        <f t="shared" si="8"/>
        <v>0</v>
      </c>
      <c r="G232" s="156">
        <f t="shared" si="9"/>
        <v>0</v>
      </c>
      <c r="J232" s="149">
        <v>0.3</v>
      </c>
      <c r="K232" s="149">
        <v>0.7</v>
      </c>
      <c r="L232" s="149">
        <f t="shared" si="5"/>
        <v>0</v>
      </c>
      <c r="M232" s="150">
        <f t="shared" si="6"/>
        <v>0.85</v>
      </c>
      <c r="N232" s="150">
        <f t="shared" si="7"/>
        <v>0.25980750000000002</v>
      </c>
    </row>
    <row r="233" spans="1:14" ht="18" x14ac:dyDescent="0.25">
      <c r="A233" s="411"/>
      <c r="B233" s="153" t="s">
        <v>296</v>
      </c>
      <c r="C233" s="152">
        <v>0.64</v>
      </c>
      <c r="D233" s="152">
        <v>0.36</v>
      </c>
      <c r="E233" s="152">
        <v>0</v>
      </c>
      <c r="F233" s="156">
        <f t="shared" si="8"/>
        <v>0.67999999999999994</v>
      </c>
      <c r="G233" s="156">
        <f t="shared" si="9"/>
        <v>0.55425600000000008</v>
      </c>
      <c r="J233" s="149">
        <v>0</v>
      </c>
      <c r="K233" s="149">
        <v>0.7</v>
      </c>
      <c r="L233" s="149">
        <f t="shared" si="5"/>
        <v>0.30000000000000004</v>
      </c>
      <c r="M233" s="150">
        <f t="shared" si="6"/>
        <v>0.7</v>
      </c>
      <c r="N233" s="150">
        <f t="shared" si="7"/>
        <v>0</v>
      </c>
    </row>
    <row r="234" spans="1:14" ht="18" x14ac:dyDescent="0.25">
      <c r="A234" s="411"/>
      <c r="B234" s="153" t="s">
        <v>297</v>
      </c>
      <c r="C234" s="152">
        <v>0.4</v>
      </c>
      <c r="D234" s="152">
        <v>0.36</v>
      </c>
      <c r="E234" s="152">
        <v>0.24</v>
      </c>
      <c r="F234" s="156">
        <f t="shared" si="8"/>
        <v>0.56000000000000005</v>
      </c>
      <c r="G234" s="156">
        <f t="shared" si="9"/>
        <v>0.34641000000000005</v>
      </c>
      <c r="J234" s="149">
        <v>0</v>
      </c>
      <c r="K234" s="149">
        <v>0.8</v>
      </c>
      <c r="L234" s="149">
        <f t="shared" si="5"/>
        <v>0.19999999999999996</v>
      </c>
      <c r="M234" s="150">
        <f t="shared" si="6"/>
        <v>0.8</v>
      </c>
      <c r="N234" s="150">
        <f t="shared" si="7"/>
        <v>0</v>
      </c>
    </row>
    <row r="235" spans="1:14" ht="18" x14ac:dyDescent="0.25">
      <c r="A235" s="411"/>
      <c r="B235" s="153" t="s">
        <v>298</v>
      </c>
      <c r="C235" s="152">
        <v>0.15</v>
      </c>
      <c r="D235" s="152">
        <v>0.61</v>
      </c>
      <c r="E235" s="152">
        <v>0.24</v>
      </c>
      <c r="F235" s="156">
        <f t="shared" si="8"/>
        <v>0.68499999999999994</v>
      </c>
      <c r="G235" s="156">
        <f t="shared" si="9"/>
        <v>0.12990375000000001</v>
      </c>
      <c r="J235" s="149">
        <v>0.2</v>
      </c>
      <c r="K235" s="149">
        <v>0.8</v>
      </c>
      <c r="L235" s="149">
        <f t="shared" si="5"/>
        <v>0</v>
      </c>
      <c r="M235" s="150">
        <f t="shared" si="6"/>
        <v>0.9</v>
      </c>
      <c r="N235" s="150">
        <f t="shared" si="7"/>
        <v>0.17320500000000003</v>
      </c>
    </row>
    <row r="236" spans="1:14" ht="18" x14ac:dyDescent="0.25">
      <c r="A236" s="412"/>
      <c r="B236" s="153" t="s">
        <v>299</v>
      </c>
      <c r="C236" s="152">
        <v>0.15</v>
      </c>
      <c r="D236" s="152">
        <v>0.55000000000000004</v>
      </c>
      <c r="E236" s="152">
        <v>0.3</v>
      </c>
      <c r="F236" s="156">
        <f t="shared" si="8"/>
        <v>0.625</v>
      </c>
      <c r="G236" s="156">
        <f t="shared" si="9"/>
        <v>0.12990375000000001</v>
      </c>
      <c r="J236" s="149">
        <v>0.1</v>
      </c>
      <c r="K236" s="149">
        <v>0.9</v>
      </c>
      <c r="L236" s="149">
        <f t="shared" si="5"/>
        <v>0</v>
      </c>
      <c r="M236" s="150">
        <f t="shared" si="6"/>
        <v>0.95000000000000007</v>
      </c>
      <c r="N236" s="150">
        <f t="shared" si="7"/>
        <v>8.6602500000000013E-2</v>
      </c>
    </row>
    <row r="237" spans="1:14" ht="18" x14ac:dyDescent="0.25">
      <c r="J237" s="149">
        <v>0</v>
      </c>
      <c r="K237" s="149">
        <v>0.9</v>
      </c>
      <c r="L237" s="149">
        <f t="shared" si="5"/>
        <v>9.9999999999999978E-2</v>
      </c>
      <c r="M237" s="150">
        <f t="shared" si="6"/>
        <v>0.9</v>
      </c>
      <c r="N237" s="150">
        <f t="shared" si="7"/>
        <v>0</v>
      </c>
    </row>
    <row r="238" spans="1:14" ht="18" x14ac:dyDescent="0.25">
      <c r="J238" s="149">
        <v>0.9</v>
      </c>
      <c r="K238" s="149">
        <v>0</v>
      </c>
      <c r="L238" s="149">
        <f t="shared" si="5"/>
        <v>9.9999999999999978E-2</v>
      </c>
      <c r="M238" s="150">
        <f t="shared" si="6"/>
        <v>0.45</v>
      </c>
      <c r="N238" s="150">
        <f t="shared" si="7"/>
        <v>0.77942250000000002</v>
      </c>
    </row>
    <row r="239" spans="1:14" ht="18" x14ac:dyDescent="0.25">
      <c r="J239" s="149">
        <v>0.8</v>
      </c>
      <c r="K239" s="149">
        <v>0</v>
      </c>
      <c r="L239" s="149">
        <f t="shared" si="5"/>
        <v>0.19999999999999996</v>
      </c>
      <c r="M239" s="150">
        <f t="shared" si="6"/>
        <v>0.4</v>
      </c>
      <c r="N239" s="150">
        <f t="shared" si="7"/>
        <v>0.6928200000000001</v>
      </c>
    </row>
    <row r="240" spans="1:14" ht="18" x14ac:dyDescent="0.25">
      <c r="J240" s="149">
        <v>0</v>
      </c>
      <c r="K240" s="149">
        <v>0.8</v>
      </c>
      <c r="L240" s="149">
        <f t="shared" si="5"/>
        <v>0.19999999999999996</v>
      </c>
      <c r="M240" s="150">
        <f t="shared" si="6"/>
        <v>0.8</v>
      </c>
      <c r="N240" s="150">
        <f t="shared" si="7"/>
        <v>0</v>
      </c>
    </row>
    <row r="241" spans="5:14" ht="18" x14ac:dyDescent="0.25">
      <c r="J241" s="149">
        <v>0</v>
      </c>
      <c r="K241" s="149">
        <v>0.7</v>
      </c>
      <c r="L241" s="149">
        <f t="shared" si="5"/>
        <v>0.30000000000000004</v>
      </c>
      <c r="M241" s="150">
        <f t="shared" si="6"/>
        <v>0.7</v>
      </c>
      <c r="N241" s="150">
        <f t="shared" si="7"/>
        <v>0</v>
      </c>
    </row>
    <row r="242" spans="5:14" ht="18" x14ac:dyDescent="0.25">
      <c r="J242" s="149">
        <v>0.7</v>
      </c>
      <c r="K242" s="149">
        <v>0</v>
      </c>
      <c r="L242" s="149">
        <f t="shared" si="5"/>
        <v>0.30000000000000004</v>
      </c>
      <c r="M242" s="150">
        <f t="shared" si="6"/>
        <v>0.35</v>
      </c>
      <c r="N242" s="150">
        <f t="shared" si="7"/>
        <v>0.60621749999999996</v>
      </c>
    </row>
    <row r="243" spans="5:14" ht="18" x14ac:dyDescent="0.25">
      <c r="J243" s="149">
        <v>0.6</v>
      </c>
      <c r="K243" s="149">
        <v>0</v>
      </c>
      <c r="L243" s="149">
        <f t="shared" si="5"/>
        <v>0.4</v>
      </c>
      <c r="M243" s="150">
        <f t="shared" si="6"/>
        <v>0.3</v>
      </c>
      <c r="N243" s="150">
        <f t="shared" si="7"/>
        <v>0.51961500000000005</v>
      </c>
    </row>
    <row r="244" spans="5:14" ht="18" x14ac:dyDescent="0.25">
      <c r="J244" s="149">
        <v>0</v>
      </c>
      <c r="K244" s="149">
        <v>0.6</v>
      </c>
      <c r="L244" s="149">
        <f t="shared" si="5"/>
        <v>0.4</v>
      </c>
      <c r="M244" s="150">
        <f t="shared" si="6"/>
        <v>0.6</v>
      </c>
      <c r="N244" s="150">
        <f t="shared" si="7"/>
        <v>0</v>
      </c>
    </row>
    <row r="245" spans="5:14" ht="18" x14ac:dyDescent="0.25">
      <c r="J245" s="149">
        <v>0</v>
      </c>
      <c r="K245" s="149">
        <v>0.5</v>
      </c>
      <c r="L245" s="149">
        <f t="shared" si="5"/>
        <v>0.5</v>
      </c>
      <c r="M245" s="150">
        <f t="shared" si="6"/>
        <v>0.5</v>
      </c>
      <c r="N245" s="150">
        <f t="shared" si="7"/>
        <v>0</v>
      </c>
    </row>
    <row r="246" spans="5:14" ht="18" x14ac:dyDescent="0.25">
      <c r="J246" s="149">
        <v>0.5</v>
      </c>
      <c r="K246" s="149">
        <v>0</v>
      </c>
      <c r="L246" s="149">
        <f t="shared" si="5"/>
        <v>0.5</v>
      </c>
      <c r="M246" s="150">
        <f t="shared" si="6"/>
        <v>0.25</v>
      </c>
      <c r="N246" s="150">
        <f t="shared" si="7"/>
        <v>0.43301250000000002</v>
      </c>
    </row>
    <row r="247" spans="5:14" ht="18" x14ac:dyDescent="0.25">
      <c r="J247" s="149">
        <v>0.4</v>
      </c>
      <c r="K247" s="149">
        <v>0</v>
      </c>
      <c r="L247" s="149">
        <f t="shared" si="5"/>
        <v>0.6</v>
      </c>
      <c r="M247" s="150">
        <f t="shared" si="6"/>
        <v>0.2</v>
      </c>
      <c r="N247" s="150">
        <f t="shared" si="7"/>
        <v>0.34641000000000005</v>
      </c>
    </row>
    <row r="248" spans="5:14" ht="18" x14ac:dyDescent="0.25">
      <c r="J248" s="149">
        <v>0</v>
      </c>
      <c r="K248" s="149">
        <v>0.4</v>
      </c>
      <c r="L248" s="149">
        <f t="shared" si="5"/>
        <v>0.6</v>
      </c>
      <c r="M248" s="150">
        <f t="shared" si="6"/>
        <v>0.4</v>
      </c>
      <c r="N248" s="150">
        <f t="shared" si="7"/>
        <v>0</v>
      </c>
    </row>
    <row r="249" spans="5:14" ht="18" x14ac:dyDescent="0.25">
      <c r="J249" s="149">
        <v>0</v>
      </c>
      <c r="K249" s="149">
        <v>0.3</v>
      </c>
      <c r="L249" s="149">
        <f t="shared" si="5"/>
        <v>0.7</v>
      </c>
      <c r="M249" s="150">
        <f t="shared" si="6"/>
        <v>0.3</v>
      </c>
      <c r="N249" s="150">
        <f t="shared" si="7"/>
        <v>0</v>
      </c>
    </row>
    <row r="250" spans="5:14" ht="18" x14ac:dyDescent="0.25">
      <c r="J250" s="149">
        <v>0.3</v>
      </c>
      <c r="K250" s="149">
        <v>0</v>
      </c>
      <c r="L250" s="149">
        <f t="shared" si="5"/>
        <v>0.7</v>
      </c>
      <c r="M250" s="150">
        <f t="shared" si="6"/>
        <v>0.15</v>
      </c>
      <c r="N250" s="150">
        <f t="shared" si="7"/>
        <v>0.25980750000000002</v>
      </c>
    </row>
    <row r="251" spans="5:14" ht="18" x14ac:dyDescent="0.25">
      <c r="J251" s="149">
        <v>0.2</v>
      </c>
      <c r="K251" s="149">
        <v>0</v>
      </c>
      <c r="L251" s="149">
        <f t="shared" si="5"/>
        <v>0.8</v>
      </c>
      <c r="M251" s="150">
        <f t="shared" si="6"/>
        <v>0.1</v>
      </c>
      <c r="N251" s="150">
        <f t="shared" si="7"/>
        <v>0.17320500000000003</v>
      </c>
    </row>
    <row r="252" spans="5:14" ht="18" x14ac:dyDescent="0.25">
      <c r="J252" s="149">
        <v>0</v>
      </c>
      <c r="K252" s="149">
        <v>0.2</v>
      </c>
      <c r="L252" s="149">
        <f t="shared" si="5"/>
        <v>0.8</v>
      </c>
      <c r="M252" s="150">
        <f t="shared" si="6"/>
        <v>0.2</v>
      </c>
      <c r="N252" s="150">
        <f t="shared" si="7"/>
        <v>0</v>
      </c>
    </row>
    <row r="253" spans="5:14" ht="18" x14ac:dyDescent="0.25">
      <c r="J253" s="149">
        <v>0</v>
      </c>
      <c r="K253" s="149">
        <v>0.1</v>
      </c>
      <c r="L253" s="149">
        <f t="shared" si="5"/>
        <v>0.9</v>
      </c>
      <c r="M253" s="150">
        <f t="shared" si="6"/>
        <v>0.1</v>
      </c>
      <c r="N253" s="150">
        <f t="shared" si="7"/>
        <v>0</v>
      </c>
    </row>
    <row r="254" spans="5:14" ht="18" x14ac:dyDescent="0.25">
      <c r="J254" s="149">
        <v>0</v>
      </c>
      <c r="K254" s="149">
        <v>0.1</v>
      </c>
      <c r="L254" s="149">
        <f t="shared" si="5"/>
        <v>0.9</v>
      </c>
      <c r="M254" s="150">
        <f t="shared" si="6"/>
        <v>0.1</v>
      </c>
      <c r="N254" s="150">
        <f t="shared" si="7"/>
        <v>0</v>
      </c>
    </row>
    <row r="255" spans="5:14" ht="18" x14ac:dyDescent="0.25">
      <c r="J255" s="149">
        <v>0.1</v>
      </c>
      <c r="K255" s="149">
        <v>0</v>
      </c>
      <c r="L255" s="149">
        <f t="shared" si="5"/>
        <v>0.9</v>
      </c>
      <c r="M255" s="150">
        <f>K255+J255/2</f>
        <v>0.05</v>
      </c>
      <c r="N255" s="150">
        <f>J255*0.866025</f>
        <v>8.6602500000000013E-2</v>
      </c>
    </row>
    <row r="256" spans="5:14" x14ac:dyDescent="0.2">
      <c r="E256" s="92"/>
      <c r="F256" s="92" t="s">
        <v>303</v>
      </c>
      <c r="G256" s="92" t="s">
        <v>304</v>
      </c>
    </row>
    <row r="257" spans="1:14" x14ac:dyDescent="0.2">
      <c r="E257" s="92" t="s">
        <v>302</v>
      </c>
      <c r="F257" s="92">
        <f>SUM(F258:F260)</f>
        <v>1835</v>
      </c>
      <c r="G257" s="92"/>
    </row>
    <row r="258" spans="1:14" ht="18" x14ac:dyDescent="0.25">
      <c r="A258" s="219" t="s">
        <v>412</v>
      </c>
      <c r="B258">
        <v>0</v>
      </c>
      <c r="C258">
        <v>0</v>
      </c>
      <c r="E258" s="92" t="s">
        <v>3</v>
      </c>
      <c r="F258" s="92">
        <f>MBA!B10</f>
        <v>780</v>
      </c>
      <c r="G258" s="203">
        <f>F258/F257</f>
        <v>0.42506811989100818</v>
      </c>
      <c r="H258" s="25"/>
      <c r="I258" s="180"/>
      <c r="J258" s="180"/>
    </row>
    <row r="259" spans="1:14" ht="15.75" x14ac:dyDescent="0.25">
      <c r="B259">
        <v>1</v>
      </c>
      <c r="C259">
        <v>0</v>
      </c>
      <c r="E259" s="92" t="s">
        <v>4</v>
      </c>
      <c r="F259" s="92">
        <f>MBA!C10</f>
        <v>788</v>
      </c>
      <c r="G259" s="203">
        <f>F259/F257</f>
        <v>0.42942779291553135</v>
      </c>
      <c r="H259" s="181"/>
      <c r="I259" s="177"/>
      <c r="J259" s="182"/>
    </row>
    <row r="260" spans="1:14" ht="18" x14ac:dyDescent="0.25">
      <c r="B260">
        <v>0.5</v>
      </c>
      <c r="C260">
        <v>0.86602500000000004</v>
      </c>
      <c r="E260" s="92" t="s">
        <v>5</v>
      </c>
      <c r="F260" s="92">
        <f>MBA!D10</f>
        <v>267</v>
      </c>
      <c r="G260" s="203">
        <f>F260/F257</f>
        <v>0.1455040871934605</v>
      </c>
      <c r="H260" s="181"/>
      <c r="I260" s="177"/>
      <c r="J260" s="149">
        <v>0.1</v>
      </c>
      <c r="K260" s="149">
        <v>0</v>
      </c>
      <c r="L260" s="149">
        <f t="shared" ref="L260:L312" si="10">1-J260-K260</f>
        <v>0.9</v>
      </c>
      <c r="M260" s="150">
        <f t="shared" ref="M260:M311" si="11">K260+J260/2</f>
        <v>0.05</v>
      </c>
      <c r="N260" s="150">
        <f t="shared" ref="N260:N311" si="12">J260*0.866025</f>
        <v>8.6602500000000013E-2</v>
      </c>
    </row>
    <row r="261" spans="1:14" ht="18" x14ac:dyDescent="0.25">
      <c r="B261">
        <v>0</v>
      </c>
      <c r="C261">
        <v>0</v>
      </c>
      <c r="H261" s="181"/>
      <c r="I261" s="177"/>
      <c r="J261" s="149">
        <v>0.1</v>
      </c>
      <c r="K261" s="149">
        <v>0.9</v>
      </c>
      <c r="L261" s="149">
        <f t="shared" si="10"/>
        <v>0</v>
      </c>
      <c r="M261" s="150">
        <f t="shared" si="11"/>
        <v>0.95000000000000007</v>
      </c>
      <c r="N261" s="150">
        <f t="shared" si="12"/>
        <v>8.6602500000000013E-2</v>
      </c>
    </row>
    <row r="262" spans="1:14" ht="18" x14ac:dyDescent="0.25">
      <c r="H262" s="181"/>
      <c r="I262" s="177"/>
      <c r="J262" s="149">
        <v>0.2</v>
      </c>
      <c r="K262" s="149">
        <v>0.8</v>
      </c>
      <c r="L262" s="149">
        <f t="shared" si="10"/>
        <v>0</v>
      </c>
      <c r="M262" s="150">
        <f t="shared" si="11"/>
        <v>0.9</v>
      </c>
      <c r="N262" s="150">
        <f t="shared" si="12"/>
        <v>0.17320500000000003</v>
      </c>
    </row>
    <row r="263" spans="1:14" ht="18" x14ac:dyDescent="0.25">
      <c r="A263" s="168" t="s">
        <v>265</v>
      </c>
      <c r="B263" s="168" t="s">
        <v>266</v>
      </c>
      <c r="C263" s="107" t="s">
        <v>312</v>
      </c>
      <c r="D263" s="107" t="s">
        <v>313</v>
      </c>
      <c r="E263" s="107" t="s">
        <v>314</v>
      </c>
      <c r="F263" s="169" t="s">
        <v>305</v>
      </c>
      <c r="G263" s="169" t="s">
        <v>306</v>
      </c>
      <c r="H263" s="174" t="s">
        <v>32</v>
      </c>
      <c r="I263" s="90" t="str">
        <f>IF(AND(G260&gt;=0.02,G260&lt;=0.15,G259&lt;=0.01),"true","")</f>
        <v/>
      </c>
      <c r="J263" s="149">
        <v>0.2</v>
      </c>
      <c r="K263" s="149">
        <v>0</v>
      </c>
      <c r="L263" s="149">
        <f t="shared" si="10"/>
        <v>0.8</v>
      </c>
      <c r="M263" s="150">
        <f t="shared" si="11"/>
        <v>0.1</v>
      </c>
      <c r="N263" s="150">
        <f t="shared" si="12"/>
        <v>0.17320500000000003</v>
      </c>
    </row>
    <row r="264" spans="1:14" ht="18" x14ac:dyDescent="0.25">
      <c r="A264" s="410" t="s">
        <v>32</v>
      </c>
      <c r="B264" s="167" t="s">
        <v>267</v>
      </c>
      <c r="C264" s="152">
        <v>0.85</v>
      </c>
      <c r="D264" s="152">
        <v>0</v>
      </c>
      <c r="E264" s="152">
        <v>0.15</v>
      </c>
      <c r="F264" s="170">
        <f>D264+C264/2</f>
        <v>0.42499999999999999</v>
      </c>
      <c r="G264" s="170">
        <f>C264*0.866025</f>
        <v>0.73612125000000006</v>
      </c>
      <c r="H264" s="172" t="s">
        <v>280</v>
      </c>
      <c r="I264" s="172" t="str">
        <f>IF(AND(G260&gt;15,G260&lt;=0.54,G259&lt;=0.1),"true","")</f>
        <v/>
      </c>
      <c r="J264" s="149">
        <v>0.3</v>
      </c>
      <c r="K264" s="149">
        <v>0</v>
      </c>
      <c r="L264" s="149">
        <f t="shared" si="10"/>
        <v>0.7</v>
      </c>
      <c r="M264" s="150">
        <f t="shared" si="11"/>
        <v>0.15</v>
      </c>
      <c r="N264" s="150">
        <f t="shared" si="12"/>
        <v>0.25980750000000002</v>
      </c>
    </row>
    <row r="265" spans="1:14" ht="18" x14ac:dyDescent="0.25">
      <c r="A265" s="411"/>
      <c r="B265" s="167" t="s">
        <v>268</v>
      </c>
      <c r="C265" s="152">
        <v>0.84</v>
      </c>
      <c r="D265" s="152">
        <v>0.01</v>
      </c>
      <c r="E265" s="152">
        <v>0.15</v>
      </c>
      <c r="F265" s="170">
        <f t="shared" ref="F265:F303" si="13">D265+C265/2</f>
        <v>0.43</v>
      </c>
      <c r="G265" s="170">
        <f t="shared" ref="G265:G303" si="14">C265*0.866025</f>
        <v>0.72746100000000002</v>
      </c>
      <c r="H265" s="172" t="s">
        <v>293</v>
      </c>
      <c r="I265" s="90" t="str">
        <f>IF(OR(AND(G259&gt;0.1,G259&lt;=0.5,G260&gt;0.12,G260&lt;=0.3),AND(G259&gt;0.5,G259&lt;0.7,G260&gt;0.14,G260&lt;=0.3)),"true","")</f>
        <v>true</v>
      </c>
      <c r="J265" s="149">
        <v>0.3</v>
      </c>
      <c r="K265" s="149">
        <v>0.7</v>
      </c>
      <c r="L265" s="149">
        <f t="shared" si="10"/>
        <v>0</v>
      </c>
      <c r="M265" s="150">
        <f t="shared" si="11"/>
        <v>0.85</v>
      </c>
      <c r="N265" s="150">
        <f t="shared" si="12"/>
        <v>0.25980750000000002</v>
      </c>
    </row>
    <row r="266" spans="1:14" ht="18" x14ac:dyDescent="0.25">
      <c r="A266" s="411"/>
      <c r="B266" s="167" t="s">
        <v>269</v>
      </c>
      <c r="C266" s="152">
        <v>0.97</v>
      </c>
      <c r="D266" s="152">
        <v>0.01</v>
      </c>
      <c r="E266" s="152">
        <v>0.02</v>
      </c>
      <c r="F266" s="170">
        <f t="shared" si="13"/>
        <v>0.495</v>
      </c>
      <c r="G266" s="170">
        <f t="shared" si="14"/>
        <v>0.84004425000000005</v>
      </c>
      <c r="H266" s="175" t="s">
        <v>271</v>
      </c>
      <c r="I266" s="90" t="str">
        <f>IF(OR(AND(G259&lt;0.1,G260&gt;=0.54),AND(G259&lt;0.1,G260&lt;0.02),AND(G259&gt;0.02,G259&lt;0.1,G260&lt;0.15)),"true","")</f>
        <v/>
      </c>
      <c r="J266" s="149">
        <v>0.4</v>
      </c>
      <c r="K266" s="149">
        <v>0.6</v>
      </c>
      <c r="L266" s="149">
        <f t="shared" si="10"/>
        <v>0</v>
      </c>
      <c r="M266" s="150">
        <f t="shared" si="11"/>
        <v>0.8</v>
      </c>
      <c r="N266" s="150">
        <f t="shared" si="12"/>
        <v>0.34641000000000005</v>
      </c>
    </row>
    <row r="267" spans="1:14" ht="18" x14ac:dyDescent="0.25">
      <c r="A267" s="412"/>
      <c r="B267" s="167" t="s">
        <v>270</v>
      </c>
      <c r="C267" s="152">
        <v>0.98</v>
      </c>
      <c r="D267" s="152">
        <v>0</v>
      </c>
      <c r="E267" s="152">
        <v>0.02</v>
      </c>
      <c r="F267" s="170">
        <f t="shared" si="13"/>
        <v>0.49</v>
      </c>
      <c r="G267" s="170">
        <f t="shared" si="14"/>
        <v>0.84870450000000008</v>
      </c>
      <c r="H267" s="175" t="s">
        <v>36</v>
      </c>
      <c r="I267" s="90" t="str">
        <f>IF(AND(G259&gt;0.1,G259&lt;0.35,G260&lt;0.12),"true","")</f>
        <v/>
      </c>
      <c r="J267" s="149">
        <v>0.4</v>
      </c>
      <c r="K267" s="149">
        <v>0</v>
      </c>
      <c r="L267" s="149">
        <f t="shared" si="10"/>
        <v>0.6</v>
      </c>
      <c r="M267" s="150">
        <f t="shared" si="11"/>
        <v>0.2</v>
      </c>
      <c r="N267" s="150">
        <f t="shared" si="12"/>
        <v>0.34641000000000005</v>
      </c>
    </row>
    <row r="268" spans="1:14" ht="18" x14ac:dyDescent="0.25">
      <c r="A268" s="410" t="s">
        <v>280</v>
      </c>
      <c r="B268" s="167" t="s">
        <v>281</v>
      </c>
      <c r="C268" s="152">
        <v>0.46</v>
      </c>
      <c r="D268" s="152">
        <v>0</v>
      </c>
      <c r="E268" s="152">
        <v>0.54</v>
      </c>
      <c r="F268" s="170">
        <f t="shared" si="13"/>
        <v>0.23</v>
      </c>
      <c r="G268" s="170">
        <f t="shared" si="14"/>
        <v>0.39837150000000005</v>
      </c>
      <c r="H268" s="175" t="s">
        <v>34</v>
      </c>
      <c r="I268" s="90" t="str">
        <f>IF(OR(AND(G259&gt;=0.35,G260&lt;0.12),AND(G259&gt;=0.5,G260&gt;=0.12,G260&lt;0.14),AND(G259&gt;=0.7,G260&gt;=0.14),AND(G259&gt;0.35,G260&gt;=0.3)),"true","")</f>
        <v/>
      </c>
      <c r="J268" s="149">
        <v>0.5</v>
      </c>
      <c r="K268" s="149">
        <v>0</v>
      </c>
      <c r="L268" s="149">
        <f t="shared" si="10"/>
        <v>0.5</v>
      </c>
      <c r="M268" s="150">
        <f t="shared" si="11"/>
        <v>0.25</v>
      </c>
      <c r="N268" s="150">
        <f t="shared" si="12"/>
        <v>0.43301250000000002</v>
      </c>
    </row>
    <row r="269" spans="1:14" ht="18" x14ac:dyDescent="0.25">
      <c r="A269" s="411"/>
      <c r="B269" s="167" t="s">
        <v>282</v>
      </c>
      <c r="C269" s="152">
        <v>0.35</v>
      </c>
      <c r="D269" s="152">
        <v>0.1</v>
      </c>
      <c r="E269" s="152">
        <v>0.54</v>
      </c>
      <c r="F269" s="170">
        <f t="shared" si="13"/>
        <v>0.27500000000000002</v>
      </c>
      <c r="G269" s="170">
        <f t="shared" si="14"/>
        <v>0.30310874999999998</v>
      </c>
      <c r="H269" s="175" t="s">
        <v>276</v>
      </c>
      <c r="I269" s="90" t="str">
        <f>IF(AND(G259&gt;0.1,G259&lt;0.35,G260&gt;0.3,G260&lt;0.9),"true","")</f>
        <v/>
      </c>
      <c r="J269" s="149">
        <v>0.5</v>
      </c>
      <c r="K269" s="149">
        <v>0.5</v>
      </c>
      <c r="L269" s="149">
        <f t="shared" si="10"/>
        <v>0</v>
      </c>
      <c r="M269" s="150">
        <f t="shared" si="11"/>
        <v>0.75</v>
      </c>
      <c r="N269" s="150">
        <f t="shared" si="12"/>
        <v>0.43301250000000002</v>
      </c>
    </row>
    <row r="270" spans="1:14" ht="18" x14ac:dyDescent="0.25">
      <c r="A270" s="411"/>
      <c r="B270" s="167" t="s">
        <v>283</v>
      </c>
      <c r="C270" s="152">
        <v>0.75</v>
      </c>
      <c r="D270" s="152">
        <v>0.1</v>
      </c>
      <c r="E270" s="152">
        <v>0.15</v>
      </c>
      <c r="F270" s="170">
        <f t="shared" si="13"/>
        <v>0.47499999999999998</v>
      </c>
      <c r="G270" s="170">
        <f t="shared" si="14"/>
        <v>0.64951875000000003</v>
      </c>
      <c r="I270" s="390" t="str">
        <f>INDEX($H$263:$H$269,MATCH("true",$I$263:$I$269,0))</f>
        <v>C</v>
      </c>
      <c r="J270" s="149">
        <v>0.6</v>
      </c>
      <c r="K270" s="149">
        <v>0.4</v>
      </c>
      <c r="L270" s="149">
        <f t="shared" si="10"/>
        <v>0</v>
      </c>
      <c r="M270" s="150">
        <f t="shared" si="11"/>
        <v>0.7</v>
      </c>
      <c r="N270" s="150">
        <f t="shared" si="12"/>
        <v>0.51961500000000005</v>
      </c>
    </row>
    <row r="271" spans="1:14" ht="18" x14ac:dyDescent="0.25">
      <c r="A271" s="412"/>
      <c r="B271" s="167" t="s">
        <v>284</v>
      </c>
      <c r="C271" s="152">
        <v>0.85</v>
      </c>
      <c r="D271" s="152">
        <v>0</v>
      </c>
      <c r="E271" s="152">
        <v>0.15</v>
      </c>
      <c r="F271" s="170">
        <f t="shared" si="13"/>
        <v>0.42499999999999999</v>
      </c>
      <c r="G271" s="170">
        <f t="shared" si="14"/>
        <v>0.73612125000000006</v>
      </c>
      <c r="I271" s="391"/>
      <c r="J271" s="149">
        <v>0.6</v>
      </c>
      <c r="K271" s="149">
        <v>0</v>
      </c>
      <c r="L271" s="149">
        <f t="shared" si="10"/>
        <v>0.4</v>
      </c>
      <c r="M271" s="150">
        <f t="shared" si="11"/>
        <v>0.3</v>
      </c>
      <c r="N271" s="150">
        <f t="shared" si="12"/>
        <v>0.51961500000000005</v>
      </c>
    </row>
    <row r="272" spans="1:14" ht="18" x14ac:dyDescent="0.25">
      <c r="A272" s="410" t="s">
        <v>276</v>
      </c>
      <c r="B272" s="167" t="s">
        <v>277</v>
      </c>
      <c r="C272" s="152">
        <v>0</v>
      </c>
      <c r="D272" s="152">
        <v>0</v>
      </c>
      <c r="E272" s="152">
        <v>1</v>
      </c>
      <c r="F272" s="170">
        <f t="shared" si="13"/>
        <v>0</v>
      </c>
      <c r="G272" s="170">
        <f t="shared" si="14"/>
        <v>0</v>
      </c>
      <c r="H272" s="175"/>
      <c r="J272" s="149">
        <v>0.7</v>
      </c>
      <c r="K272" s="149">
        <v>0</v>
      </c>
      <c r="L272" s="149">
        <f t="shared" si="10"/>
        <v>0.30000000000000004</v>
      </c>
      <c r="M272" s="150">
        <f t="shared" si="11"/>
        <v>0.35</v>
      </c>
      <c r="N272" s="150">
        <f t="shared" si="12"/>
        <v>0.60621749999999996</v>
      </c>
    </row>
    <row r="273" spans="1:14" ht="18" x14ac:dyDescent="0.25">
      <c r="A273" s="411"/>
      <c r="B273" s="167" t="s">
        <v>278</v>
      </c>
      <c r="C273" s="152">
        <v>0</v>
      </c>
      <c r="D273" s="152">
        <v>0.35</v>
      </c>
      <c r="E273" s="152">
        <v>0.65</v>
      </c>
      <c r="F273" s="170">
        <f t="shared" si="13"/>
        <v>0.35</v>
      </c>
      <c r="G273" s="170">
        <f t="shared" si="14"/>
        <v>0</v>
      </c>
      <c r="J273" s="149">
        <v>0.7</v>
      </c>
      <c r="K273" s="149">
        <v>0.3</v>
      </c>
      <c r="L273" s="149">
        <f t="shared" si="10"/>
        <v>0</v>
      </c>
      <c r="M273" s="150">
        <f t="shared" si="11"/>
        <v>0.64999999999999991</v>
      </c>
      <c r="N273" s="150">
        <f t="shared" si="12"/>
        <v>0.60621749999999996</v>
      </c>
    </row>
    <row r="274" spans="1:14" ht="18" x14ac:dyDescent="0.25">
      <c r="A274" s="411"/>
      <c r="B274" s="167" t="s">
        <v>279</v>
      </c>
      <c r="C274" s="152">
        <v>0.35</v>
      </c>
      <c r="D274" s="152">
        <v>0.35</v>
      </c>
      <c r="E274" s="152">
        <v>0.3</v>
      </c>
      <c r="F274" s="170">
        <f t="shared" si="13"/>
        <v>0.52499999999999991</v>
      </c>
      <c r="G274" s="170">
        <f t="shared" si="14"/>
        <v>0.30310874999999998</v>
      </c>
      <c r="J274" s="149">
        <v>0.8</v>
      </c>
      <c r="K274" s="149">
        <v>0.2</v>
      </c>
      <c r="L274" s="149">
        <f t="shared" si="10"/>
        <v>0</v>
      </c>
      <c r="M274" s="150">
        <f t="shared" si="11"/>
        <v>0.60000000000000009</v>
      </c>
      <c r="N274" s="150">
        <f t="shared" si="12"/>
        <v>0.6928200000000001</v>
      </c>
    </row>
    <row r="275" spans="1:14" ht="18" x14ac:dyDescent="0.25">
      <c r="A275" s="412"/>
      <c r="B275" s="167" t="s">
        <v>315</v>
      </c>
      <c r="C275" s="152">
        <v>0.6</v>
      </c>
      <c r="D275" s="152">
        <v>0.1</v>
      </c>
      <c r="E275" s="152">
        <v>0.3</v>
      </c>
      <c r="F275" s="170">
        <f t="shared" si="13"/>
        <v>0.4</v>
      </c>
      <c r="G275" s="170">
        <f t="shared" si="14"/>
        <v>0.51961500000000005</v>
      </c>
      <c r="J275" s="149">
        <v>0.8</v>
      </c>
      <c r="K275" s="149">
        <v>0</v>
      </c>
      <c r="L275" s="149">
        <f t="shared" si="10"/>
        <v>0.19999999999999996</v>
      </c>
      <c r="M275" s="150">
        <f t="shared" si="11"/>
        <v>0.4</v>
      </c>
      <c r="N275" s="150">
        <f t="shared" si="12"/>
        <v>0.6928200000000001</v>
      </c>
    </row>
    <row r="276" spans="1:14" ht="18" x14ac:dyDescent="0.25">
      <c r="A276" s="410" t="s">
        <v>271</v>
      </c>
      <c r="B276" s="167" t="s">
        <v>272</v>
      </c>
      <c r="C276" s="152">
        <v>0</v>
      </c>
      <c r="D276" s="152">
        <v>0</v>
      </c>
      <c r="E276" s="152">
        <v>1</v>
      </c>
      <c r="F276" s="170">
        <f t="shared" si="13"/>
        <v>0</v>
      </c>
      <c r="G276" s="170">
        <f t="shared" si="14"/>
        <v>0</v>
      </c>
      <c r="J276" s="149">
        <v>0.9</v>
      </c>
      <c r="K276" s="149">
        <v>0</v>
      </c>
      <c r="L276" s="149">
        <f t="shared" si="10"/>
        <v>9.9999999999999978E-2</v>
      </c>
      <c r="M276" s="150">
        <f t="shared" si="11"/>
        <v>0.45</v>
      </c>
      <c r="N276" s="150">
        <f t="shared" si="12"/>
        <v>0.77942250000000002</v>
      </c>
    </row>
    <row r="277" spans="1:14" ht="18" x14ac:dyDescent="0.25">
      <c r="A277" s="411"/>
      <c r="B277" s="167" t="s">
        <v>273</v>
      </c>
      <c r="C277" s="152">
        <v>0</v>
      </c>
      <c r="D277" s="152">
        <v>0.1</v>
      </c>
      <c r="E277" s="152">
        <v>0.9</v>
      </c>
      <c r="F277" s="170">
        <f t="shared" si="13"/>
        <v>0.1</v>
      </c>
      <c r="G277" s="170">
        <f t="shared" si="14"/>
        <v>0</v>
      </c>
      <c r="J277" s="149">
        <v>0.9</v>
      </c>
      <c r="K277" s="149">
        <v>0.1</v>
      </c>
      <c r="L277" s="149">
        <f t="shared" si="10"/>
        <v>0</v>
      </c>
      <c r="M277" s="150">
        <f t="shared" si="11"/>
        <v>0.55000000000000004</v>
      </c>
      <c r="N277" s="150">
        <f t="shared" si="12"/>
        <v>0.77942250000000002</v>
      </c>
    </row>
    <row r="278" spans="1:14" ht="18" x14ac:dyDescent="0.25">
      <c r="A278" s="411"/>
      <c r="B278" s="167" t="s">
        <v>274</v>
      </c>
      <c r="C278" s="152">
        <v>0.36</v>
      </c>
      <c r="D278" s="152">
        <v>0.1</v>
      </c>
      <c r="E278" s="152">
        <v>0.54</v>
      </c>
      <c r="F278" s="170">
        <f t="shared" si="13"/>
        <v>0.28000000000000003</v>
      </c>
      <c r="G278" s="170">
        <f t="shared" si="14"/>
        <v>0.31176900000000002</v>
      </c>
      <c r="J278" s="149">
        <v>0</v>
      </c>
      <c r="K278" s="149">
        <v>0.1</v>
      </c>
      <c r="L278" s="149">
        <f t="shared" si="10"/>
        <v>0.9</v>
      </c>
      <c r="M278" s="150">
        <f t="shared" si="11"/>
        <v>0.1</v>
      </c>
      <c r="N278" s="150">
        <f t="shared" si="12"/>
        <v>0</v>
      </c>
    </row>
    <row r="279" spans="1:14" ht="18" x14ac:dyDescent="0.25">
      <c r="A279" s="411"/>
      <c r="B279" s="167" t="s">
        <v>275</v>
      </c>
      <c r="C279" s="152">
        <v>0.46</v>
      </c>
      <c r="D279" s="152">
        <v>0</v>
      </c>
      <c r="E279" s="152">
        <v>0.54</v>
      </c>
      <c r="F279" s="170">
        <f t="shared" si="13"/>
        <v>0.23</v>
      </c>
      <c r="G279" s="170">
        <f t="shared" si="14"/>
        <v>0.39837150000000005</v>
      </c>
      <c r="J279" s="149">
        <v>0</v>
      </c>
      <c r="K279" s="149">
        <v>0.2</v>
      </c>
      <c r="L279" s="149">
        <f t="shared" si="10"/>
        <v>0.8</v>
      </c>
      <c r="M279" s="150">
        <f t="shared" si="11"/>
        <v>0.2</v>
      </c>
      <c r="N279" s="150">
        <f t="shared" si="12"/>
        <v>0</v>
      </c>
    </row>
    <row r="280" spans="1:14" ht="18" x14ac:dyDescent="0.25">
      <c r="A280" s="411"/>
      <c r="B280" s="167" t="s">
        <v>316</v>
      </c>
      <c r="C280" s="152">
        <v>0.84</v>
      </c>
      <c r="D280" s="152">
        <v>0.01</v>
      </c>
      <c r="E280" s="152">
        <v>0.15</v>
      </c>
      <c r="F280" s="170">
        <f t="shared" si="13"/>
        <v>0.43</v>
      </c>
      <c r="G280" s="170">
        <f t="shared" si="14"/>
        <v>0.72746100000000002</v>
      </c>
      <c r="J280" s="149">
        <v>0.8</v>
      </c>
      <c r="K280" s="149">
        <v>0.2</v>
      </c>
      <c r="L280" s="149">
        <f t="shared" si="10"/>
        <v>0</v>
      </c>
      <c r="M280" s="150">
        <f t="shared" si="11"/>
        <v>0.60000000000000009</v>
      </c>
      <c r="N280" s="150">
        <f t="shared" si="12"/>
        <v>0.6928200000000001</v>
      </c>
    </row>
    <row r="281" spans="1:14" ht="18" x14ac:dyDescent="0.25">
      <c r="A281" s="411"/>
      <c r="B281" s="167" t="s">
        <v>317</v>
      </c>
      <c r="C281" s="152">
        <v>0.75</v>
      </c>
      <c r="D281" s="152">
        <v>0.1</v>
      </c>
      <c r="E281" s="152">
        <v>0.15</v>
      </c>
      <c r="F281" s="170">
        <f t="shared" si="13"/>
        <v>0.47499999999999998</v>
      </c>
      <c r="G281" s="170">
        <f t="shared" si="14"/>
        <v>0.64951875000000003</v>
      </c>
      <c r="J281" s="149">
        <v>0.7</v>
      </c>
      <c r="K281" s="149">
        <v>0.3</v>
      </c>
      <c r="L281" s="149">
        <f t="shared" si="10"/>
        <v>0</v>
      </c>
      <c r="M281" s="150">
        <f t="shared" si="11"/>
        <v>0.64999999999999991</v>
      </c>
      <c r="N281" s="150">
        <f t="shared" si="12"/>
        <v>0.60621749999999996</v>
      </c>
    </row>
    <row r="282" spans="1:14" ht="18" x14ac:dyDescent="0.25">
      <c r="A282" s="411"/>
      <c r="B282" s="167" t="s">
        <v>318</v>
      </c>
      <c r="C282" s="152">
        <v>0.9</v>
      </c>
      <c r="D282" s="152">
        <v>0.1</v>
      </c>
      <c r="E282" s="152">
        <v>0</v>
      </c>
      <c r="F282" s="170">
        <f t="shared" si="13"/>
        <v>0.55000000000000004</v>
      </c>
      <c r="G282" s="170">
        <f t="shared" si="14"/>
        <v>0.77942250000000002</v>
      </c>
      <c r="J282" s="149">
        <v>0</v>
      </c>
      <c r="K282" s="149">
        <v>0.3</v>
      </c>
      <c r="L282" s="149">
        <f t="shared" si="10"/>
        <v>0.7</v>
      </c>
      <c r="M282" s="150">
        <f t="shared" si="11"/>
        <v>0.3</v>
      </c>
      <c r="N282" s="150">
        <f t="shared" si="12"/>
        <v>0</v>
      </c>
    </row>
    <row r="283" spans="1:14" ht="18" x14ac:dyDescent="0.25">
      <c r="A283" s="411"/>
      <c r="B283" s="167" t="s">
        <v>319</v>
      </c>
      <c r="C283" s="152">
        <v>1</v>
      </c>
      <c r="D283" s="152">
        <v>0</v>
      </c>
      <c r="E283" s="152">
        <v>0</v>
      </c>
      <c r="F283" s="170">
        <f t="shared" si="13"/>
        <v>0.5</v>
      </c>
      <c r="G283" s="170">
        <f t="shared" si="14"/>
        <v>0.86602500000000004</v>
      </c>
      <c r="J283" s="149">
        <v>0</v>
      </c>
      <c r="K283" s="149">
        <v>0.4</v>
      </c>
      <c r="L283" s="149">
        <f t="shared" si="10"/>
        <v>0.6</v>
      </c>
      <c r="M283" s="150">
        <f t="shared" si="11"/>
        <v>0.4</v>
      </c>
      <c r="N283" s="150">
        <f t="shared" si="12"/>
        <v>0</v>
      </c>
    </row>
    <row r="284" spans="1:14" ht="18" x14ac:dyDescent="0.25">
      <c r="A284" s="412"/>
      <c r="B284" s="167" t="s">
        <v>320</v>
      </c>
      <c r="C284" s="152">
        <v>0.98</v>
      </c>
      <c r="D284" s="152">
        <v>0</v>
      </c>
      <c r="E284" s="152">
        <v>0.02</v>
      </c>
      <c r="F284" s="170">
        <f t="shared" si="13"/>
        <v>0.49</v>
      </c>
      <c r="G284" s="170">
        <f t="shared" si="14"/>
        <v>0.84870450000000008</v>
      </c>
      <c r="J284" s="149">
        <v>0.6</v>
      </c>
      <c r="K284" s="149">
        <v>0.4</v>
      </c>
      <c r="L284" s="149">
        <f t="shared" si="10"/>
        <v>0</v>
      </c>
      <c r="M284" s="150">
        <f t="shared" si="11"/>
        <v>0.7</v>
      </c>
      <c r="N284" s="150">
        <f t="shared" si="12"/>
        <v>0.51961500000000005</v>
      </c>
    </row>
    <row r="285" spans="1:14" ht="18" x14ac:dyDescent="0.25">
      <c r="A285" s="410" t="s">
        <v>293</v>
      </c>
      <c r="B285" s="167" t="s">
        <v>294</v>
      </c>
      <c r="C285" s="152">
        <v>0</v>
      </c>
      <c r="D285" s="152">
        <v>0.7</v>
      </c>
      <c r="E285" s="152">
        <v>0.3</v>
      </c>
      <c r="F285" s="170">
        <f t="shared" si="13"/>
        <v>0.7</v>
      </c>
      <c r="G285" s="170">
        <f t="shared" si="14"/>
        <v>0</v>
      </c>
      <c r="J285" s="149">
        <v>0.5</v>
      </c>
      <c r="K285" s="149">
        <v>0.5</v>
      </c>
      <c r="L285" s="149">
        <f t="shared" si="10"/>
        <v>0</v>
      </c>
      <c r="M285" s="150">
        <f t="shared" si="11"/>
        <v>0.75</v>
      </c>
      <c r="N285" s="150">
        <f t="shared" si="12"/>
        <v>0.43301250000000002</v>
      </c>
    </row>
    <row r="286" spans="1:14" ht="18" x14ac:dyDescent="0.25">
      <c r="A286" s="411"/>
      <c r="B286" s="167" t="s">
        <v>295</v>
      </c>
      <c r="C286" s="152">
        <v>0.16</v>
      </c>
      <c r="D286" s="152">
        <v>0.7</v>
      </c>
      <c r="E286" s="152">
        <v>0.14000000000000001</v>
      </c>
      <c r="F286" s="170">
        <f t="shared" si="13"/>
        <v>0.77999999999999992</v>
      </c>
      <c r="G286" s="170">
        <f t="shared" si="14"/>
        <v>0.13856400000000002</v>
      </c>
      <c r="J286" s="149">
        <v>0</v>
      </c>
      <c r="K286" s="149">
        <v>0.5</v>
      </c>
      <c r="L286" s="149">
        <f t="shared" si="10"/>
        <v>0.5</v>
      </c>
      <c r="M286" s="150">
        <f t="shared" si="11"/>
        <v>0.5</v>
      </c>
      <c r="N286" s="150">
        <f t="shared" si="12"/>
        <v>0</v>
      </c>
    </row>
    <row r="287" spans="1:14" ht="18" x14ac:dyDescent="0.25">
      <c r="A287" s="411"/>
      <c r="B287" s="167" t="s">
        <v>296</v>
      </c>
      <c r="C287" s="152">
        <v>0.36</v>
      </c>
      <c r="D287" s="152">
        <v>0.5</v>
      </c>
      <c r="E287" s="152">
        <v>0.14000000000000001</v>
      </c>
      <c r="F287" s="170">
        <f t="shared" si="13"/>
        <v>0.67999999999999994</v>
      </c>
      <c r="G287" s="170">
        <f t="shared" si="14"/>
        <v>0.31176900000000002</v>
      </c>
      <c r="J287" s="149">
        <v>0</v>
      </c>
      <c r="K287" s="149">
        <v>0.6</v>
      </c>
      <c r="L287" s="149">
        <f t="shared" si="10"/>
        <v>0.4</v>
      </c>
      <c r="M287" s="150">
        <f t="shared" si="11"/>
        <v>0.6</v>
      </c>
      <c r="N287" s="150">
        <f t="shared" si="12"/>
        <v>0</v>
      </c>
    </row>
    <row r="288" spans="1:14" ht="18" x14ac:dyDescent="0.25">
      <c r="A288" s="411"/>
      <c r="B288" s="167" t="s">
        <v>297</v>
      </c>
      <c r="C288" s="152">
        <v>0.38</v>
      </c>
      <c r="D288" s="152">
        <v>0.5</v>
      </c>
      <c r="E288" s="152">
        <v>0.12</v>
      </c>
      <c r="F288" s="170">
        <f t="shared" si="13"/>
        <v>0.69</v>
      </c>
      <c r="G288" s="170">
        <f t="shared" si="14"/>
        <v>0.32908950000000003</v>
      </c>
      <c r="J288" s="149">
        <v>0.4</v>
      </c>
      <c r="K288" s="149">
        <v>0.6</v>
      </c>
      <c r="L288" s="149">
        <f t="shared" si="10"/>
        <v>0</v>
      </c>
      <c r="M288" s="150">
        <f t="shared" si="11"/>
        <v>0.8</v>
      </c>
      <c r="N288" s="150">
        <f t="shared" si="12"/>
        <v>0.34641000000000005</v>
      </c>
    </row>
    <row r="289" spans="1:14" ht="18" x14ac:dyDescent="0.25">
      <c r="A289" s="411"/>
      <c r="B289" s="167" t="s">
        <v>298</v>
      </c>
      <c r="C289" s="152">
        <v>0.78</v>
      </c>
      <c r="D289" s="152">
        <v>0.1</v>
      </c>
      <c r="E289" s="152">
        <v>0.12</v>
      </c>
      <c r="F289" s="170">
        <f t="shared" si="13"/>
        <v>0.49</v>
      </c>
      <c r="G289" s="170">
        <f t="shared" si="14"/>
        <v>0.67549950000000003</v>
      </c>
      <c r="J289" s="149">
        <v>0.3</v>
      </c>
      <c r="K289" s="149">
        <v>0.7</v>
      </c>
      <c r="L289" s="149">
        <f t="shared" si="10"/>
        <v>0</v>
      </c>
      <c r="M289" s="150">
        <f t="shared" si="11"/>
        <v>0.85</v>
      </c>
      <c r="N289" s="150">
        <f t="shared" si="12"/>
        <v>0.25980750000000002</v>
      </c>
    </row>
    <row r="290" spans="1:14" ht="18" x14ac:dyDescent="0.25">
      <c r="A290" s="412"/>
      <c r="B290" s="167" t="s">
        <v>299</v>
      </c>
      <c r="C290" s="152">
        <v>0</v>
      </c>
      <c r="D290" s="152">
        <v>0.35</v>
      </c>
      <c r="E290" s="152">
        <v>0.65</v>
      </c>
      <c r="F290" s="170">
        <f t="shared" si="13"/>
        <v>0.35</v>
      </c>
      <c r="G290" s="170">
        <f t="shared" si="14"/>
        <v>0</v>
      </c>
      <c r="J290" s="149">
        <v>0</v>
      </c>
      <c r="K290" s="149">
        <v>0.7</v>
      </c>
      <c r="L290" s="149">
        <f t="shared" si="10"/>
        <v>0.30000000000000004</v>
      </c>
      <c r="M290" s="150">
        <f t="shared" si="11"/>
        <v>0.7</v>
      </c>
      <c r="N290" s="150">
        <f t="shared" si="12"/>
        <v>0</v>
      </c>
    </row>
    <row r="291" spans="1:14" ht="18" x14ac:dyDescent="0.25">
      <c r="A291" s="410" t="s">
        <v>36</v>
      </c>
      <c r="B291" s="167" t="s">
        <v>321</v>
      </c>
      <c r="C291" s="152">
        <v>0.53</v>
      </c>
      <c r="D291" s="152">
        <v>0.35</v>
      </c>
      <c r="E291" s="152">
        <v>0.12</v>
      </c>
      <c r="F291" s="170">
        <f t="shared" si="13"/>
        <v>0.61499999999999999</v>
      </c>
      <c r="G291" s="170">
        <f t="shared" si="14"/>
        <v>0.45899325000000002</v>
      </c>
      <c r="J291" s="149">
        <v>0</v>
      </c>
      <c r="K291" s="149">
        <v>0.8</v>
      </c>
      <c r="L291" s="149">
        <f t="shared" si="10"/>
        <v>0.19999999999999996</v>
      </c>
      <c r="M291" s="150">
        <f t="shared" si="11"/>
        <v>0.8</v>
      </c>
      <c r="N291" s="150">
        <f t="shared" si="12"/>
        <v>0</v>
      </c>
    </row>
    <row r="292" spans="1:14" ht="18" x14ac:dyDescent="0.25">
      <c r="A292" s="411"/>
      <c r="B292" s="167" t="s">
        <v>322</v>
      </c>
      <c r="C292" s="152">
        <v>0.65</v>
      </c>
      <c r="D292" s="152">
        <v>0.35</v>
      </c>
      <c r="E292" s="152">
        <v>0</v>
      </c>
      <c r="F292" s="170">
        <f t="shared" si="13"/>
        <v>0.67500000000000004</v>
      </c>
      <c r="G292" s="170">
        <f t="shared" si="14"/>
        <v>0.56291625000000001</v>
      </c>
      <c r="J292" s="149">
        <v>0.2</v>
      </c>
      <c r="K292" s="149">
        <v>0.8</v>
      </c>
      <c r="L292" s="149">
        <f t="shared" si="10"/>
        <v>0</v>
      </c>
      <c r="M292" s="150">
        <f t="shared" si="11"/>
        <v>0.9</v>
      </c>
      <c r="N292" s="150">
        <f t="shared" si="12"/>
        <v>0.17320500000000003</v>
      </c>
    </row>
    <row r="293" spans="1:14" ht="18" x14ac:dyDescent="0.25">
      <c r="A293" s="411"/>
      <c r="B293" s="167" t="s">
        <v>323</v>
      </c>
      <c r="C293" s="152">
        <v>0.9</v>
      </c>
      <c r="D293" s="152">
        <v>0.1</v>
      </c>
      <c r="E293" s="152">
        <v>0</v>
      </c>
      <c r="F293" s="170">
        <f t="shared" si="13"/>
        <v>0.55000000000000004</v>
      </c>
      <c r="G293" s="170">
        <f t="shared" si="14"/>
        <v>0.77942250000000002</v>
      </c>
      <c r="J293" s="149">
        <v>0.1</v>
      </c>
      <c r="K293" s="149">
        <v>0.9</v>
      </c>
      <c r="L293" s="149">
        <f t="shared" si="10"/>
        <v>0</v>
      </c>
      <c r="M293" s="150">
        <f t="shared" si="11"/>
        <v>0.95000000000000007</v>
      </c>
      <c r="N293" s="150">
        <f t="shared" si="12"/>
        <v>8.6602500000000013E-2</v>
      </c>
    </row>
    <row r="294" spans="1:14" ht="18" x14ac:dyDescent="0.25">
      <c r="A294" s="412"/>
      <c r="B294" s="167" t="s">
        <v>324</v>
      </c>
      <c r="C294" s="152">
        <v>0.7</v>
      </c>
      <c r="D294" s="152">
        <v>0.1</v>
      </c>
      <c r="E294" s="152">
        <v>0.12</v>
      </c>
      <c r="F294" s="170">
        <f t="shared" si="13"/>
        <v>0.44999999999999996</v>
      </c>
      <c r="G294" s="170">
        <f t="shared" si="14"/>
        <v>0.60621749999999996</v>
      </c>
      <c r="J294" s="149">
        <v>0</v>
      </c>
      <c r="K294" s="149">
        <v>0.9</v>
      </c>
      <c r="L294" s="149">
        <f t="shared" si="10"/>
        <v>9.9999999999999978E-2</v>
      </c>
      <c r="M294" s="150">
        <f t="shared" si="11"/>
        <v>0.9</v>
      </c>
      <c r="N294" s="150">
        <f t="shared" si="12"/>
        <v>0</v>
      </c>
    </row>
    <row r="295" spans="1:14" ht="18" x14ac:dyDescent="0.25">
      <c r="A295" s="410" t="s">
        <v>34</v>
      </c>
      <c r="B295" s="167" t="s">
        <v>325</v>
      </c>
      <c r="C295" s="152">
        <v>0</v>
      </c>
      <c r="D295" s="152">
        <v>0.35</v>
      </c>
      <c r="E295" s="152">
        <v>0.65</v>
      </c>
      <c r="F295" s="170">
        <f t="shared" si="13"/>
        <v>0.35</v>
      </c>
      <c r="G295" s="170">
        <f t="shared" si="14"/>
        <v>0</v>
      </c>
      <c r="J295" s="149">
        <v>0.9</v>
      </c>
      <c r="K295" s="149">
        <v>0</v>
      </c>
      <c r="L295" s="149">
        <f t="shared" si="10"/>
        <v>9.9999999999999978E-2</v>
      </c>
      <c r="M295" s="150">
        <f t="shared" si="11"/>
        <v>0.45</v>
      </c>
      <c r="N295" s="150">
        <f t="shared" si="12"/>
        <v>0.77942250000000002</v>
      </c>
    </row>
    <row r="296" spans="1:14" ht="18" x14ac:dyDescent="0.25">
      <c r="A296" s="411"/>
      <c r="B296" s="167" t="s">
        <v>326</v>
      </c>
      <c r="C296" s="152">
        <v>0</v>
      </c>
      <c r="D296" s="152">
        <v>0.7</v>
      </c>
      <c r="E296" s="152">
        <v>0.3</v>
      </c>
      <c r="F296" s="170">
        <f t="shared" si="13"/>
        <v>0.7</v>
      </c>
      <c r="G296" s="170">
        <f t="shared" si="14"/>
        <v>0</v>
      </c>
      <c r="J296" s="149">
        <v>0.8</v>
      </c>
      <c r="K296" s="149">
        <v>0</v>
      </c>
      <c r="L296" s="149">
        <f t="shared" si="10"/>
        <v>0.19999999999999996</v>
      </c>
      <c r="M296" s="150">
        <f t="shared" si="11"/>
        <v>0.4</v>
      </c>
      <c r="N296" s="150">
        <f t="shared" si="12"/>
        <v>0.6928200000000001</v>
      </c>
    </row>
    <row r="297" spans="1:14" ht="18" x14ac:dyDescent="0.25">
      <c r="A297" s="411"/>
      <c r="B297" s="167" t="s">
        <v>327</v>
      </c>
      <c r="C297" s="152">
        <v>0.35</v>
      </c>
      <c r="D297" s="152">
        <v>0.35</v>
      </c>
      <c r="E297" s="152">
        <v>0.3</v>
      </c>
      <c r="F297" s="170">
        <f t="shared" si="13"/>
        <v>0.52499999999999991</v>
      </c>
      <c r="G297" s="170">
        <f t="shared" si="14"/>
        <v>0.30310874999999998</v>
      </c>
      <c r="J297" s="149">
        <v>0</v>
      </c>
      <c r="K297" s="149">
        <v>0.8</v>
      </c>
      <c r="L297" s="149">
        <f t="shared" si="10"/>
        <v>0.19999999999999996</v>
      </c>
      <c r="M297" s="150">
        <f t="shared" si="11"/>
        <v>0.8</v>
      </c>
      <c r="N297" s="150">
        <f t="shared" si="12"/>
        <v>0</v>
      </c>
    </row>
    <row r="298" spans="1:14" ht="18" x14ac:dyDescent="0.25">
      <c r="A298" s="411"/>
      <c r="B298" s="167" t="s">
        <v>328</v>
      </c>
      <c r="C298" s="152">
        <v>0</v>
      </c>
      <c r="D298" s="152">
        <v>1</v>
      </c>
      <c r="E298" s="152">
        <v>0</v>
      </c>
      <c r="F298" s="170">
        <f t="shared" si="13"/>
        <v>1</v>
      </c>
      <c r="G298" s="170">
        <f t="shared" si="14"/>
        <v>0</v>
      </c>
      <c r="J298" s="149">
        <v>0</v>
      </c>
      <c r="K298" s="149">
        <v>0.7</v>
      </c>
      <c r="L298" s="149">
        <f t="shared" si="10"/>
        <v>0.30000000000000004</v>
      </c>
      <c r="M298" s="150">
        <f t="shared" si="11"/>
        <v>0.7</v>
      </c>
      <c r="N298" s="150">
        <f t="shared" si="12"/>
        <v>0</v>
      </c>
    </row>
    <row r="299" spans="1:14" ht="18" x14ac:dyDescent="0.25">
      <c r="A299" s="411"/>
      <c r="B299" s="167" t="s">
        <v>329</v>
      </c>
      <c r="C299" s="152">
        <v>0.65</v>
      </c>
      <c r="D299" s="152">
        <v>0.35</v>
      </c>
      <c r="E299" s="152">
        <v>0</v>
      </c>
      <c r="F299" s="170">
        <f t="shared" si="13"/>
        <v>0.67500000000000004</v>
      </c>
      <c r="G299" s="170">
        <f t="shared" si="14"/>
        <v>0.56291625000000001</v>
      </c>
      <c r="J299" s="149">
        <v>0.7</v>
      </c>
      <c r="K299" s="149">
        <v>0</v>
      </c>
      <c r="L299" s="149">
        <f t="shared" si="10"/>
        <v>0.30000000000000004</v>
      </c>
      <c r="M299" s="150">
        <f t="shared" si="11"/>
        <v>0.35</v>
      </c>
      <c r="N299" s="150">
        <f t="shared" si="12"/>
        <v>0.60621749999999996</v>
      </c>
    </row>
    <row r="300" spans="1:14" ht="18" x14ac:dyDescent="0.25">
      <c r="A300" s="411"/>
      <c r="B300" s="167" t="s">
        <v>330</v>
      </c>
      <c r="C300" s="152">
        <v>0.53</v>
      </c>
      <c r="D300" s="152">
        <v>0.35</v>
      </c>
      <c r="E300" s="152">
        <v>0.12</v>
      </c>
      <c r="F300" s="170">
        <f t="shared" si="13"/>
        <v>0.61499999999999999</v>
      </c>
      <c r="G300" s="170">
        <f t="shared" si="14"/>
        <v>0.45899325000000002</v>
      </c>
      <c r="J300" s="149">
        <v>0.6</v>
      </c>
      <c r="K300" s="149">
        <v>0</v>
      </c>
      <c r="L300" s="149">
        <f t="shared" si="10"/>
        <v>0.4</v>
      </c>
      <c r="M300" s="150">
        <f t="shared" si="11"/>
        <v>0.3</v>
      </c>
      <c r="N300" s="150">
        <f t="shared" si="12"/>
        <v>0.51961500000000005</v>
      </c>
    </row>
    <row r="301" spans="1:14" ht="18" x14ac:dyDescent="0.25">
      <c r="A301" s="411"/>
      <c r="B301" s="167" t="s">
        <v>331</v>
      </c>
      <c r="C301" s="152">
        <v>0.38</v>
      </c>
      <c r="D301" s="152">
        <v>0.5</v>
      </c>
      <c r="E301" s="152">
        <v>0.12</v>
      </c>
      <c r="F301" s="170">
        <f t="shared" si="13"/>
        <v>0.69</v>
      </c>
      <c r="G301" s="170">
        <f t="shared" si="14"/>
        <v>0.32908950000000003</v>
      </c>
      <c r="J301" s="149">
        <v>0</v>
      </c>
      <c r="K301" s="149">
        <v>0.6</v>
      </c>
      <c r="L301" s="149">
        <f t="shared" si="10"/>
        <v>0.4</v>
      </c>
      <c r="M301" s="150">
        <f t="shared" si="11"/>
        <v>0.6</v>
      </c>
      <c r="N301" s="150">
        <f t="shared" si="12"/>
        <v>0</v>
      </c>
    </row>
    <row r="302" spans="1:14" ht="18" x14ac:dyDescent="0.25">
      <c r="A302" s="411"/>
      <c r="B302" s="167" t="s">
        <v>332</v>
      </c>
      <c r="C302" s="152">
        <v>0.36</v>
      </c>
      <c r="D302" s="152">
        <v>0.5</v>
      </c>
      <c r="E302" s="152">
        <v>0.14000000000000001</v>
      </c>
      <c r="F302" s="170">
        <f t="shared" si="13"/>
        <v>0.67999999999999994</v>
      </c>
      <c r="G302" s="170">
        <f t="shared" si="14"/>
        <v>0.31176900000000002</v>
      </c>
      <c r="J302" s="149">
        <v>0</v>
      </c>
      <c r="K302" s="149">
        <v>0.5</v>
      </c>
      <c r="L302" s="149">
        <f t="shared" si="10"/>
        <v>0.5</v>
      </c>
      <c r="M302" s="150">
        <f t="shared" si="11"/>
        <v>0.5</v>
      </c>
      <c r="N302" s="150">
        <f t="shared" si="12"/>
        <v>0</v>
      </c>
    </row>
    <row r="303" spans="1:14" ht="18" x14ac:dyDescent="0.25">
      <c r="A303" s="412"/>
      <c r="B303" s="167" t="s">
        <v>333</v>
      </c>
      <c r="C303" s="152">
        <v>0.16</v>
      </c>
      <c r="D303" s="152">
        <v>0.7</v>
      </c>
      <c r="E303" s="152">
        <v>0.16</v>
      </c>
      <c r="F303" s="170">
        <f t="shared" si="13"/>
        <v>0.77999999999999992</v>
      </c>
      <c r="G303" s="170">
        <f t="shared" si="14"/>
        <v>0.13856400000000002</v>
      </c>
      <c r="J303" s="149">
        <v>0.5</v>
      </c>
      <c r="K303" s="149">
        <v>0</v>
      </c>
      <c r="L303" s="149">
        <f t="shared" si="10"/>
        <v>0.5</v>
      </c>
      <c r="M303" s="150">
        <f t="shared" si="11"/>
        <v>0.25</v>
      </c>
      <c r="N303" s="150">
        <f t="shared" si="12"/>
        <v>0.43301250000000002</v>
      </c>
    </row>
    <row r="304" spans="1:14" ht="18" x14ac:dyDescent="0.25">
      <c r="A304" s="25"/>
      <c r="B304" s="25"/>
      <c r="C304" s="25"/>
      <c r="D304" s="25"/>
      <c r="E304" s="25"/>
      <c r="J304" s="149">
        <v>0.4</v>
      </c>
      <c r="K304" s="149">
        <v>0</v>
      </c>
      <c r="L304" s="149">
        <f t="shared" si="10"/>
        <v>0.6</v>
      </c>
      <c r="M304" s="150">
        <f t="shared" si="11"/>
        <v>0.2</v>
      </c>
      <c r="N304" s="150">
        <f t="shared" si="12"/>
        <v>0.34641000000000005</v>
      </c>
    </row>
    <row r="305" spans="1:16" ht="18" x14ac:dyDescent="0.25">
      <c r="A305" s="25"/>
      <c r="B305" s="25"/>
      <c r="C305" s="25"/>
      <c r="D305" s="25"/>
      <c r="E305" s="25" t="s">
        <v>334</v>
      </c>
      <c r="F305">
        <v>0.5</v>
      </c>
      <c r="G305">
        <v>0.35</v>
      </c>
      <c r="J305" s="149">
        <v>0</v>
      </c>
      <c r="K305" s="149">
        <v>0.4</v>
      </c>
      <c r="L305" s="149">
        <f t="shared" si="10"/>
        <v>0.6</v>
      </c>
      <c r="M305" s="150">
        <f t="shared" si="11"/>
        <v>0.4</v>
      </c>
      <c r="N305" s="150">
        <f t="shared" si="12"/>
        <v>0</v>
      </c>
    </row>
    <row r="306" spans="1:16" ht="18" x14ac:dyDescent="0.25">
      <c r="A306" s="25"/>
      <c r="B306" s="171"/>
      <c r="C306" s="171"/>
      <c r="D306" s="25"/>
      <c r="E306" s="25"/>
      <c r="F306">
        <v>0.7</v>
      </c>
      <c r="G306">
        <v>0</v>
      </c>
      <c r="J306" s="149">
        <v>0</v>
      </c>
      <c r="K306" s="149">
        <v>0.3</v>
      </c>
      <c r="L306" s="149">
        <f t="shared" si="10"/>
        <v>0.7</v>
      </c>
      <c r="M306" s="150">
        <f t="shared" si="11"/>
        <v>0.3</v>
      </c>
      <c r="N306" s="150">
        <f t="shared" si="12"/>
        <v>0</v>
      </c>
    </row>
    <row r="307" spans="1:16" ht="18" x14ac:dyDescent="0.25">
      <c r="A307" s="25"/>
      <c r="B307" s="25"/>
      <c r="C307" s="25"/>
      <c r="D307" s="25"/>
      <c r="E307" s="25"/>
      <c r="J307" s="149">
        <v>0.3</v>
      </c>
      <c r="K307" s="149">
        <v>0</v>
      </c>
      <c r="L307" s="149">
        <f t="shared" si="10"/>
        <v>0.7</v>
      </c>
      <c r="M307" s="150">
        <f t="shared" si="11"/>
        <v>0.15</v>
      </c>
      <c r="N307" s="150">
        <f t="shared" si="12"/>
        <v>0.25980750000000002</v>
      </c>
    </row>
    <row r="308" spans="1:16" ht="18" x14ac:dyDescent="0.25">
      <c r="A308" s="25"/>
      <c r="B308" s="25"/>
      <c r="C308" s="25"/>
      <c r="D308" s="25"/>
      <c r="E308" s="25" t="s">
        <v>335</v>
      </c>
      <c r="F308">
        <v>0.28000000000000003</v>
      </c>
      <c r="G308">
        <v>0.31</v>
      </c>
      <c r="J308" s="149">
        <v>0.2</v>
      </c>
      <c r="K308" s="149">
        <v>0</v>
      </c>
      <c r="L308" s="149">
        <f t="shared" si="10"/>
        <v>0.8</v>
      </c>
      <c r="M308" s="150">
        <f t="shared" si="11"/>
        <v>0.1</v>
      </c>
      <c r="N308" s="150">
        <f t="shared" si="12"/>
        <v>0.17320500000000003</v>
      </c>
    </row>
    <row r="309" spans="1:16" ht="18" x14ac:dyDescent="0.25">
      <c r="A309" s="25"/>
      <c r="B309" s="25"/>
      <c r="C309" s="25"/>
      <c r="D309" s="25"/>
      <c r="E309" s="25"/>
      <c r="F309">
        <v>0.1</v>
      </c>
      <c r="G309">
        <v>0</v>
      </c>
      <c r="J309" s="149">
        <v>0</v>
      </c>
      <c r="K309" s="149">
        <v>0.2</v>
      </c>
      <c r="L309" s="149">
        <f t="shared" si="10"/>
        <v>0.8</v>
      </c>
      <c r="M309" s="150">
        <f t="shared" si="11"/>
        <v>0.2</v>
      </c>
      <c r="N309" s="150">
        <f t="shared" si="12"/>
        <v>0</v>
      </c>
    </row>
    <row r="310" spans="1:16" ht="18" x14ac:dyDescent="0.25">
      <c r="A310" s="25"/>
      <c r="B310" s="25"/>
      <c r="C310" s="25"/>
      <c r="D310" s="25"/>
      <c r="E310" s="25"/>
      <c r="J310" s="149">
        <v>0</v>
      </c>
      <c r="K310" s="149">
        <v>0.1</v>
      </c>
      <c r="L310" s="149">
        <f t="shared" si="10"/>
        <v>0.9</v>
      </c>
      <c r="M310" s="150">
        <f t="shared" si="11"/>
        <v>0.1</v>
      </c>
      <c r="N310" s="150">
        <f t="shared" si="12"/>
        <v>0</v>
      </c>
    </row>
    <row r="311" spans="1:16" ht="18" x14ac:dyDescent="0.25">
      <c r="A311" s="25"/>
      <c r="B311" s="25"/>
      <c r="C311" s="25"/>
      <c r="D311" s="25"/>
      <c r="E311" s="25"/>
      <c r="J311" s="149">
        <v>0</v>
      </c>
      <c r="K311" s="149">
        <v>0.1</v>
      </c>
      <c r="L311" s="149">
        <f t="shared" si="10"/>
        <v>0.9</v>
      </c>
      <c r="M311" s="150">
        <f t="shared" si="11"/>
        <v>0.1</v>
      </c>
      <c r="N311" s="150">
        <f t="shared" si="12"/>
        <v>0</v>
      </c>
    </row>
    <row r="312" spans="1:16" ht="18" x14ac:dyDescent="0.25">
      <c r="J312" s="149">
        <v>0.1</v>
      </c>
      <c r="K312" s="149">
        <v>0</v>
      </c>
      <c r="L312" s="149">
        <f t="shared" si="10"/>
        <v>0.9</v>
      </c>
      <c r="M312" s="150">
        <f>K312+J312/2</f>
        <v>0.05</v>
      </c>
      <c r="N312" s="150">
        <f>J312*0.866025</f>
        <v>8.6602500000000013E-2</v>
      </c>
    </row>
    <row r="313" spans="1:16" ht="18" x14ac:dyDescent="0.25">
      <c r="A313" s="361" t="s">
        <v>375</v>
      </c>
      <c r="B313" s="361"/>
      <c r="C313" s="361"/>
    </row>
    <row r="315" spans="1:16" x14ac:dyDescent="0.2">
      <c r="A315" s="19"/>
      <c r="B315" s="19" t="s">
        <v>376</v>
      </c>
      <c r="C315" s="90"/>
      <c r="E315" s="19"/>
      <c r="F315" s="19" t="s">
        <v>376</v>
      </c>
      <c r="G315" s="19" t="s">
        <v>304</v>
      </c>
      <c r="H315" s="19" t="s">
        <v>166</v>
      </c>
      <c r="I315" s="19" t="s">
        <v>377</v>
      </c>
      <c r="J315" s="19" t="s">
        <v>378</v>
      </c>
      <c r="K315" s="19" t="s">
        <v>379</v>
      </c>
      <c r="L315" s="19" t="s">
        <v>380</v>
      </c>
      <c r="M315" s="19" t="s">
        <v>381</v>
      </c>
      <c r="N315" s="19" t="s">
        <v>382</v>
      </c>
      <c r="O315" s="19" t="s">
        <v>383</v>
      </c>
      <c r="P315" s="19" t="s">
        <v>384</v>
      </c>
    </row>
    <row r="316" spans="1:16" x14ac:dyDescent="0.2">
      <c r="A316" s="19" t="s">
        <v>2</v>
      </c>
      <c r="B316" s="19">
        <f>MBA!$A$10</f>
        <v>99</v>
      </c>
      <c r="C316" s="204"/>
      <c r="E316" s="19" t="s">
        <v>2</v>
      </c>
      <c r="F316" s="19">
        <f>B316</f>
        <v>99</v>
      </c>
      <c r="G316" s="205">
        <f>F316*100/$F$321</f>
        <v>5.1189245087900721</v>
      </c>
      <c r="H316" s="19">
        <v>0</v>
      </c>
      <c r="I316" s="205">
        <f>1*G316</f>
        <v>5.1189245087900721</v>
      </c>
      <c r="J316" s="205">
        <f>H316*I317</f>
        <v>0</v>
      </c>
      <c r="K316" s="152">
        <f>H317*I316</f>
        <v>-67.210920284672881</v>
      </c>
      <c r="L316" s="152">
        <f>J316-K316</f>
        <v>67.210920284672881</v>
      </c>
      <c r="M316" s="205">
        <f>H316+H317</f>
        <v>-13.12989089197549</v>
      </c>
      <c r="N316" s="205">
        <f>I316+I317</f>
        <v>9.3850846689819516</v>
      </c>
      <c r="O316" s="206">
        <f>M316*L316</f>
        <v>-882.47205008701724</v>
      </c>
      <c r="P316" s="206">
        <f>N316*L316</f>
        <v>630.78017755185147</v>
      </c>
    </row>
    <row r="317" spans="1:16" x14ac:dyDescent="0.2">
      <c r="A317" s="19" t="s">
        <v>3</v>
      </c>
      <c r="B317" s="19">
        <f>MBA!$B$10</f>
        <v>780</v>
      </c>
      <c r="C317" s="90"/>
      <c r="E317" s="19" t="s">
        <v>5</v>
      </c>
      <c r="F317" s="19">
        <f>B319</f>
        <v>267</v>
      </c>
      <c r="G317" s="205">
        <f>F317*100/$F$321</f>
        <v>13.805584281282316</v>
      </c>
      <c r="H317" s="205">
        <f>-G317*COS(RADIANS(18))</f>
        <v>-13.12989089197549</v>
      </c>
      <c r="I317" s="205">
        <f>G317*SIN(RADIANS(18))</f>
        <v>4.2661601601918795</v>
      </c>
      <c r="J317" s="205">
        <f>H317*I318</f>
        <v>428.4073317166322</v>
      </c>
      <c r="K317" s="152">
        <f>H318*I317</f>
        <v>-101.13325234442686</v>
      </c>
      <c r="L317" s="152">
        <f>J317-K317</f>
        <v>529.54058406105901</v>
      </c>
      <c r="M317" s="205">
        <f t="shared" ref="M317:N319" si="15">H317+H318</f>
        <v>-36.835811098186923</v>
      </c>
      <c r="N317" s="205">
        <f t="shared" si="15"/>
        <v>-28.362239819769805</v>
      </c>
      <c r="O317" s="92">
        <f>M317*L317</f>
        <v>-19506.056923296743</v>
      </c>
      <c r="P317" s="92">
        <f>N317*L317</f>
        <v>-15018.957039440727</v>
      </c>
    </row>
    <row r="318" spans="1:16" x14ac:dyDescent="0.2">
      <c r="A318" s="19" t="s">
        <v>4</v>
      </c>
      <c r="B318" s="19">
        <f>MBA!$C$10</f>
        <v>788</v>
      </c>
      <c r="C318" s="90"/>
      <c r="E318" s="19" t="s">
        <v>3</v>
      </c>
      <c r="F318" s="19">
        <f>B317</f>
        <v>780</v>
      </c>
      <c r="G318" s="205">
        <f>F318*100/$F$321</f>
        <v>40.330920372285419</v>
      </c>
      <c r="H318" s="205">
        <f>-G318*COS(RADIANS(54))</f>
        <v>-23.705920206211431</v>
      </c>
      <c r="I318" s="205">
        <f>-G318*SIN(RADIANS(54))</f>
        <v>-32.628399979961685</v>
      </c>
      <c r="J318" s="205">
        <f>H318*I319</f>
        <v>781.41943865190012</v>
      </c>
      <c r="K318" s="152">
        <f>H319*I318</f>
        <v>-781.4194386518999</v>
      </c>
      <c r="L318" s="152">
        <f>J318-K318</f>
        <v>1562.8388773038</v>
      </c>
      <c r="M318" s="205">
        <f t="shared" si="15"/>
        <v>0.2431376431406278</v>
      </c>
      <c r="N318" s="205">
        <f t="shared" si="15"/>
        <v>-65.591450216128109</v>
      </c>
      <c r="O318" s="206">
        <f>M318*L318</f>
        <v>379.98496123619071</v>
      </c>
      <c r="P318" s="92">
        <f>N318*L318</f>
        <v>-102508.86841650175</v>
      </c>
    </row>
    <row r="319" spans="1:16" x14ac:dyDescent="0.2">
      <c r="A319" s="19" t="s">
        <v>5</v>
      </c>
      <c r="B319" s="19">
        <f>MBA!$D$10</f>
        <v>267</v>
      </c>
      <c r="C319" s="90"/>
      <c r="E319" s="19" t="s">
        <v>4</v>
      </c>
      <c r="F319" s="19">
        <f>B318</f>
        <v>788</v>
      </c>
      <c r="G319" s="205">
        <f>F319*100/$F$321</f>
        <v>40.744570837642193</v>
      </c>
      <c r="H319" s="205">
        <f>G319*COS(RADIANS(54))</f>
        <v>23.949057849352059</v>
      </c>
      <c r="I319" s="205">
        <f>-G319*SIN(RADIANS(54))</f>
        <v>-32.963050236166424</v>
      </c>
      <c r="J319" s="205">
        <f>H319*I320</f>
        <v>0</v>
      </c>
      <c r="K319" s="19">
        <f>H320*I319</f>
        <v>0</v>
      </c>
      <c r="L319" s="19">
        <f>J319-K319</f>
        <v>0</v>
      </c>
      <c r="M319" s="205">
        <f t="shared" si="15"/>
        <v>23.949057849352059</v>
      </c>
      <c r="N319" s="205">
        <f t="shared" si="15"/>
        <v>-32.963050236166424</v>
      </c>
      <c r="O319" s="92">
        <f>M319*L319</f>
        <v>0</v>
      </c>
      <c r="P319" s="92">
        <f>N319*L319</f>
        <v>0</v>
      </c>
    </row>
    <row r="320" spans="1:16" x14ac:dyDescent="0.2">
      <c r="A320" s="19" t="s">
        <v>6</v>
      </c>
      <c r="B320" s="19">
        <f>MBA!$E$10</f>
        <v>0</v>
      </c>
      <c r="C320" s="90"/>
      <c r="E320" s="19" t="s">
        <v>6</v>
      </c>
      <c r="F320" s="19">
        <f>B320</f>
        <v>0</v>
      </c>
      <c r="G320" s="205">
        <f>F320*100/$F$321</f>
        <v>0</v>
      </c>
      <c r="H320" s="205">
        <f>G320*COS(RADIANS(18))</f>
        <v>0</v>
      </c>
      <c r="I320" s="205">
        <f>G320*SIN(RADIANS(18))</f>
        <v>0</v>
      </c>
      <c r="J320" s="19"/>
      <c r="K320" s="19"/>
      <c r="L320" s="19"/>
      <c r="M320" s="19"/>
      <c r="N320" s="19"/>
      <c r="O320" s="92"/>
      <c r="P320" s="92"/>
    </row>
    <row r="321" spans="1:21" ht="15" x14ac:dyDescent="0.25">
      <c r="A321" s="90"/>
      <c r="B321" s="90"/>
      <c r="C321" s="90"/>
      <c r="E321" s="19" t="s">
        <v>385</v>
      </c>
      <c r="F321" s="19">
        <f>SUM(F316:F320)</f>
        <v>1934</v>
      </c>
      <c r="G321" s="19"/>
      <c r="H321" s="19"/>
      <c r="I321" s="19"/>
      <c r="J321" s="19"/>
      <c r="K321" s="207" t="s">
        <v>386</v>
      </c>
      <c r="L321" s="208">
        <f>SUM(L316:L319)</f>
        <v>2159.590381649532</v>
      </c>
      <c r="M321" s="19"/>
      <c r="N321" s="19"/>
      <c r="O321" s="209">
        <f>SUM(O316:O319)</f>
        <v>-20008.544012147569</v>
      </c>
      <c r="P321" s="209">
        <f>SUM(P316:P319)</f>
        <v>-116897.04527839062</v>
      </c>
    </row>
    <row r="322" spans="1:21" ht="15" x14ac:dyDescent="0.25">
      <c r="A322" s="210"/>
      <c r="E322" s="19"/>
      <c r="F322" s="19"/>
      <c r="G322" s="19"/>
      <c r="H322" s="19"/>
      <c r="I322" s="19">
        <v>9</v>
      </c>
      <c r="J322" s="19"/>
      <c r="K322" s="19" t="s">
        <v>387</v>
      </c>
      <c r="L322" s="211">
        <f>L321/2</f>
        <v>1079.795190824766</v>
      </c>
      <c r="M322" s="205"/>
      <c r="N322" s="205"/>
      <c r="O322" s="92"/>
      <c r="P322" s="92"/>
    </row>
    <row r="323" spans="1:21" x14ac:dyDescent="0.2">
      <c r="A323" s="90"/>
      <c r="B323" s="90"/>
      <c r="C323" s="90"/>
      <c r="O323" s="212" t="s">
        <v>388</v>
      </c>
      <c r="P323" s="212" t="s">
        <v>389</v>
      </c>
    </row>
    <row r="324" spans="1:21" x14ac:dyDescent="0.2">
      <c r="A324" s="90"/>
      <c r="B324" s="90"/>
      <c r="C324" s="90"/>
      <c r="D324" s="92"/>
      <c r="E324" s="212" t="s">
        <v>405</v>
      </c>
      <c r="F324" s="213">
        <f>COS(RADIANS(18))</f>
        <v>0.95105651629515353</v>
      </c>
      <c r="I324" s="380" t="s">
        <v>413</v>
      </c>
      <c r="J324" s="380"/>
      <c r="K324" s="380"/>
      <c r="O324" s="211">
        <f>O321/(6*L322)</f>
        <v>-3.0883239374411211</v>
      </c>
      <c r="P324" s="211">
        <f>P321/(6*L322)</f>
        <v>-18.043089138830524</v>
      </c>
    </row>
    <row r="325" spans="1:21" x14ac:dyDescent="0.2">
      <c r="A325" s="90"/>
      <c r="B325" s="90"/>
      <c r="C325" s="90"/>
      <c r="D325" s="92"/>
      <c r="E325" s="212" t="s">
        <v>406</v>
      </c>
      <c r="F325" s="213">
        <f>SIN(RADIANS(18))</f>
        <v>0.3090169943749474</v>
      </c>
      <c r="I325" s="370" t="s">
        <v>390</v>
      </c>
      <c r="J325" s="370"/>
      <c r="K325" s="370"/>
    </row>
    <row r="326" spans="1:21" x14ac:dyDescent="0.2">
      <c r="A326" s="90"/>
      <c r="B326" s="90"/>
      <c r="C326" s="90"/>
      <c r="D326" s="92"/>
      <c r="E326" s="212" t="s">
        <v>407</v>
      </c>
      <c r="F326" s="213">
        <f>COS(RADIANS(54))</f>
        <v>0.58778525229247314</v>
      </c>
      <c r="I326" s="370" t="s">
        <v>391</v>
      </c>
      <c r="J326" s="370"/>
      <c r="K326" s="370"/>
    </row>
    <row r="327" spans="1:21" x14ac:dyDescent="0.2">
      <c r="A327" s="90"/>
      <c r="B327" s="90"/>
      <c r="C327" s="90"/>
      <c r="D327" s="92"/>
      <c r="E327" s="212" t="s">
        <v>408</v>
      </c>
      <c r="F327" s="213">
        <f>SIN(RADIANS(54))</f>
        <v>0.80901699437494745</v>
      </c>
      <c r="I327" s="370" t="s">
        <v>392</v>
      </c>
      <c r="J327" s="370"/>
      <c r="K327" s="370"/>
    </row>
    <row r="329" spans="1:21" ht="15" x14ac:dyDescent="0.25">
      <c r="A329" s="371" t="s">
        <v>393</v>
      </c>
      <c r="B329" s="371"/>
      <c r="C329" s="371"/>
    </row>
    <row r="330" spans="1:21" x14ac:dyDescent="0.2">
      <c r="A330" s="19" t="s">
        <v>394</v>
      </c>
      <c r="B330" s="19" t="s">
        <v>166</v>
      </c>
      <c r="C330" s="19" t="s">
        <v>377</v>
      </c>
      <c r="D330" s="224" t="s">
        <v>429</v>
      </c>
      <c r="E330" s="224" t="s">
        <v>430</v>
      </c>
      <c r="F330" s="221" t="s">
        <v>32</v>
      </c>
      <c r="G330" s="222" t="str">
        <f>IF(AND(B340&gt;=-1,B340&lt;=0,C340&gt;=24.5,C340&lt;=33),"TRUE","")</f>
        <v/>
      </c>
      <c r="H330" s="222" t="s">
        <v>32</v>
      </c>
      <c r="I330" s="19" t="str">
        <f>G330</f>
        <v/>
      </c>
      <c r="J330" s="227" t="s">
        <v>404</v>
      </c>
      <c r="K330" s="162" t="s">
        <v>438</v>
      </c>
      <c r="L330" s="152">
        <f>0.6667*B340-0.6667</f>
        <v>-2.7256855690919952</v>
      </c>
      <c r="N330" s="162" t="s">
        <v>377</v>
      </c>
      <c r="O330" s="162" t="s">
        <v>79</v>
      </c>
      <c r="P330" s="162" t="s">
        <v>80</v>
      </c>
      <c r="Q330" s="162" t="s">
        <v>440</v>
      </c>
      <c r="R330" s="162" t="s">
        <v>441</v>
      </c>
      <c r="T330" s="228" t="s">
        <v>166</v>
      </c>
      <c r="U330" s="228" t="s">
        <v>377</v>
      </c>
    </row>
    <row r="331" spans="1:21" x14ac:dyDescent="0.2">
      <c r="A331" s="19" t="s">
        <v>2</v>
      </c>
      <c r="B331" s="19">
        <f>H316</f>
        <v>0</v>
      </c>
      <c r="C331" s="205">
        <f>0.4*I316</f>
        <v>2.047569803516029</v>
      </c>
      <c r="D331" s="225">
        <f>3.625*B340+1.5</f>
        <v>-9.6951742732240636</v>
      </c>
      <c r="E331" s="225">
        <f>-0.7893*B340+19.157</f>
        <v>21.594614083822279</v>
      </c>
      <c r="F331" s="222" t="s">
        <v>40</v>
      </c>
      <c r="G331" s="19" t="str">
        <f>IF(OR(AND(B340&gt;=0,B340&lt;=4,C340&gt;=D331),AND(B340&gt;4,C340&gt;=E331)),"TRUE","")</f>
        <v/>
      </c>
      <c r="H331" s="222" t="s">
        <v>40</v>
      </c>
      <c r="I331" s="19" t="str">
        <f>G331</f>
        <v/>
      </c>
      <c r="K331" s="162" t="s">
        <v>439</v>
      </c>
      <c r="L331" s="152">
        <f>Q351*B340+R351</f>
        <v>10.385352834174324</v>
      </c>
      <c r="M331" s="232" t="s">
        <v>442</v>
      </c>
      <c r="N331" s="222" t="s">
        <v>429</v>
      </c>
      <c r="O331" s="19">
        <v>0</v>
      </c>
      <c r="P331" s="19">
        <v>1.5</v>
      </c>
      <c r="Q331" s="231">
        <v>3.625</v>
      </c>
      <c r="R331" s="231">
        <v>1.5</v>
      </c>
      <c r="S331" s="162"/>
      <c r="T331" s="19">
        <v>-6</v>
      </c>
      <c r="U331" s="19">
        <v>1</v>
      </c>
    </row>
    <row r="332" spans="1:21" x14ac:dyDescent="0.2">
      <c r="A332" s="19" t="s">
        <v>5</v>
      </c>
      <c r="B332" s="205">
        <f>0.4*H317</f>
        <v>-5.2519563567901963</v>
      </c>
      <c r="C332" s="205">
        <f>0.4*I317</f>
        <v>1.7064640640767519</v>
      </c>
      <c r="D332" s="162" t="s">
        <v>431</v>
      </c>
      <c r="E332" s="212"/>
      <c r="F332" s="222" t="s">
        <v>42</v>
      </c>
      <c r="G332" s="19" t="str">
        <f>IF(AND(B340&gt;=-1,C340&lt;D331,C340&lt;E331,C340&gt;=D333),"TRUE","")</f>
        <v/>
      </c>
      <c r="H332" s="222" t="s">
        <v>42</v>
      </c>
      <c r="I332" s="19" t="str">
        <f>G332</f>
        <v/>
      </c>
      <c r="K332" s="162"/>
      <c r="L332" s="152"/>
      <c r="N332" s="19"/>
      <c r="O332" s="19">
        <v>4</v>
      </c>
      <c r="P332" s="19">
        <v>16</v>
      </c>
      <c r="Q332" s="231"/>
      <c r="R332" s="231"/>
      <c r="S332" s="162"/>
      <c r="T332" s="19">
        <v>-4</v>
      </c>
      <c r="U332" s="19">
        <v>-32.4</v>
      </c>
    </row>
    <row r="333" spans="1:21" x14ac:dyDescent="0.2">
      <c r="A333" s="19" t="s">
        <v>3</v>
      </c>
      <c r="B333" s="205">
        <f>0.4*H318</f>
        <v>-9.4823680824845731</v>
      </c>
      <c r="C333" s="205">
        <f>0.4*I318</f>
        <v>-13.051359991984675</v>
      </c>
      <c r="D333" s="225">
        <f>-1.1111*B340-3</f>
        <v>0.43143672689082946</v>
      </c>
      <c r="E333" s="154"/>
      <c r="F333" s="222" t="s">
        <v>38</v>
      </c>
      <c r="G333" s="19" t="str">
        <f>IF(AND(B340&gt;=-35,B340&lt;0,C340&gt;D335,C340&gt;D337,C340&lt;=E337),"TRUE","")</f>
        <v/>
      </c>
      <c r="H333" s="222" t="s">
        <v>404</v>
      </c>
      <c r="I333" s="19" t="str">
        <f>IF(AND(B340&gt;=-3.5,C340&lt;D333,C340&lt;D339,C340&gt;=E339),"TRUE","")</f>
        <v/>
      </c>
      <c r="K333" s="162"/>
      <c r="L333" s="152"/>
      <c r="N333" s="222" t="s">
        <v>430</v>
      </c>
      <c r="O333" s="19">
        <v>4</v>
      </c>
      <c r="P333" s="19">
        <v>16</v>
      </c>
      <c r="Q333" s="231">
        <v>-0.7893</v>
      </c>
      <c r="R333" s="231">
        <v>19.157</v>
      </c>
    </row>
    <row r="334" spans="1:21" x14ac:dyDescent="0.2">
      <c r="A334" s="19" t="s">
        <v>4</v>
      </c>
      <c r="B334" s="205">
        <f>0.4*H319</f>
        <v>9.5796231397408231</v>
      </c>
      <c r="C334" s="205">
        <f>0.4*I319</f>
        <v>-13.185220094466571</v>
      </c>
      <c r="D334" s="162" t="s">
        <v>432</v>
      </c>
      <c r="E334" s="162" t="s">
        <v>433</v>
      </c>
      <c r="F334" s="222" t="s">
        <v>36</v>
      </c>
      <c r="G334" s="19" t="str">
        <f>IF(AND(B340&gt;=-22.5,B340&lt;1,C340&lt;E335,C340&lt;D337),"TRUE","")</f>
        <v>TRUE</v>
      </c>
      <c r="H334" s="222" t="s">
        <v>293</v>
      </c>
      <c r="I334" s="19" t="str">
        <f>IF(AND(B340&gt;=-23.5,B340&lt;2.5,C340&lt;E339,C340&lt;L330,C340&lt;=L331),"TRUE","")</f>
        <v>TRUE</v>
      </c>
      <c r="K334" s="212"/>
      <c r="L334" s="152"/>
      <c r="N334" s="19"/>
      <c r="O334" s="19">
        <v>32</v>
      </c>
      <c r="P334" s="19">
        <v>-6.1</v>
      </c>
      <c r="Q334" s="231"/>
      <c r="R334" s="231"/>
    </row>
    <row r="335" spans="1:21" x14ac:dyDescent="0.2">
      <c r="A335" s="19" t="s">
        <v>6</v>
      </c>
      <c r="B335" s="205">
        <f>0.4*H320</f>
        <v>0</v>
      </c>
      <c r="C335" s="205">
        <f>0.4*I320</f>
        <v>0</v>
      </c>
      <c r="D335" s="225">
        <f>-0.6667*B340-6</f>
        <v>-3.9410144309080049</v>
      </c>
      <c r="E335" s="155">
        <f>Q339*B340+R339</f>
        <v>-15.813360953407628</v>
      </c>
      <c r="F335" s="222" t="s">
        <v>34</v>
      </c>
      <c r="G335" s="222" t="str">
        <f>IF(AND(B340&gt;=-6,C340&lt;D333,C340&lt;D335,C340&gt;E335),"TRUE","")</f>
        <v/>
      </c>
      <c r="H335" s="222" t="s">
        <v>271</v>
      </c>
      <c r="I335" s="19" t="str">
        <f>IF(AND(B340&gt;=-35,B340&lt;0,C340&gt;=D339,C340&gt;=L330,C340&gt;L331,C340&lt;=E337),"TRUE","")</f>
        <v/>
      </c>
      <c r="K335" s="212"/>
      <c r="L335" s="152"/>
      <c r="N335" s="222" t="s">
        <v>431</v>
      </c>
      <c r="O335" s="19">
        <v>0</v>
      </c>
      <c r="P335" s="19">
        <v>-3</v>
      </c>
      <c r="Q335" s="231">
        <v>-1.1111</v>
      </c>
      <c r="R335" s="231">
        <v>-3</v>
      </c>
    </row>
    <row r="336" spans="1:21" x14ac:dyDescent="0.2">
      <c r="A336" s="19" t="s">
        <v>2</v>
      </c>
      <c r="B336" s="19">
        <v>0</v>
      </c>
      <c r="C336" s="205">
        <f>0.4*I316</f>
        <v>2.047569803516029</v>
      </c>
      <c r="D336" s="162" t="s">
        <v>434</v>
      </c>
      <c r="E336" s="162" t="s">
        <v>435</v>
      </c>
      <c r="F336" s="222" t="s">
        <v>280</v>
      </c>
      <c r="G336" s="154" t="str">
        <f>IF(OR(AND(B340&lt;-1,C340&gt;E337),AND(B340&gt;=-1,B340&lt;=0,C340&gt;0,C340&lt;=24.5),AND(B340&gt;=-1,B340&lt;=0,C340&gt;=33,C340&lt;=40)),"TRUE","")</f>
        <v/>
      </c>
      <c r="H336" s="228" t="s">
        <v>280</v>
      </c>
      <c r="I336" s="154" t="str">
        <f>G336</f>
        <v/>
      </c>
      <c r="K336" s="212"/>
      <c r="L336" s="152"/>
      <c r="N336" s="19"/>
      <c r="O336" s="19">
        <v>24.3</v>
      </c>
      <c r="P336" s="19">
        <v>-30</v>
      </c>
      <c r="Q336" s="231"/>
      <c r="R336" s="231"/>
    </row>
    <row r="337" spans="1:18" x14ac:dyDescent="0.2">
      <c r="D337" s="152">
        <f>1.7212*B340+6.3273</f>
        <v>1.0116768388763422</v>
      </c>
      <c r="E337" s="152">
        <f>-0.0429*B340+1.5</f>
        <v>1.632489096916224</v>
      </c>
      <c r="F337" s="228" t="s">
        <v>425</v>
      </c>
      <c r="G337" s="229" t="str">
        <f>INDEX($F$330:$F$336,MATCH("true",$G$330:$G$336,0))</f>
        <v>T2</v>
      </c>
      <c r="H337" s="222" t="s">
        <v>425</v>
      </c>
      <c r="I337" s="229" t="str">
        <f>INDEX(H330:H336,MATCH("true",I330:I336,0))</f>
        <v>C</v>
      </c>
      <c r="K337" s="212"/>
      <c r="L337" s="152"/>
      <c r="N337" s="222" t="s">
        <v>432</v>
      </c>
      <c r="O337" s="19">
        <v>0</v>
      </c>
      <c r="P337" s="19">
        <v>-3</v>
      </c>
      <c r="Q337" s="231">
        <v>-0.66669999999999996</v>
      </c>
      <c r="R337" s="231">
        <v>-6</v>
      </c>
    </row>
    <row r="338" spans="1:18" ht="15" x14ac:dyDescent="0.25">
      <c r="A338" s="372" t="s">
        <v>395</v>
      </c>
      <c r="B338" s="372"/>
      <c r="C338" s="372"/>
      <c r="D338" s="162" t="s">
        <v>436</v>
      </c>
      <c r="E338" s="162" t="s">
        <v>437</v>
      </c>
      <c r="K338" s="212"/>
      <c r="L338" s="152"/>
      <c r="N338" s="19"/>
      <c r="O338" s="19">
        <v>-6</v>
      </c>
      <c r="P338" s="19">
        <v>-4</v>
      </c>
      <c r="Q338" s="231"/>
      <c r="R338" s="231"/>
    </row>
    <row r="339" spans="1:18" x14ac:dyDescent="0.2">
      <c r="B339" s="19" t="s">
        <v>166</v>
      </c>
      <c r="C339" s="223" t="s">
        <v>377</v>
      </c>
      <c r="D339" s="152">
        <f>0*B340-3</f>
        <v>-3</v>
      </c>
      <c r="E339" s="152">
        <f>-4.9*B340-20.15</f>
        <v>-5.0172127065385048</v>
      </c>
      <c r="N339" s="222" t="s">
        <v>433</v>
      </c>
      <c r="O339" s="19">
        <v>-6</v>
      </c>
      <c r="P339" s="19">
        <v>-4</v>
      </c>
      <c r="Q339" s="231">
        <v>-4.0571000000000002</v>
      </c>
      <c r="R339" s="231">
        <v>-28.343</v>
      </c>
    </row>
    <row r="340" spans="1:18" x14ac:dyDescent="0.2">
      <c r="B340" s="211">
        <f>O324</f>
        <v>-3.0883239374411211</v>
      </c>
      <c r="C340" s="226">
        <f>P324</f>
        <v>-18.043089138830524</v>
      </c>
      <c r="D340" s="19"/>
      <c r="E340" s="19"/>
      <c r="N340" s="19"/>
      <c r="O340" s="19">
        <v>1</v>
      </c>
      <c r="P340" s="19">
        <v>-32.4</v>
      </c>
      <c r="Q340" s="231"/>
      <c r="R340" s="231"/>
    </row>
    <row r="341" spans="1:18" x14ac:dyDescent="0.2">
      <c r="N341" s="222" t="s">
        <v>434</v>
      </c>
      <c r="O341" s="19">
        <v>-6</v>
      </c>
      <c r="P341" s="19">
        <v>-4</v>
      </c>
      <c r="Q341" s="231">
        <v>1.7212000000000001</v>
      </c>
      <c r="R341" s="231">
        <v>6.3273000000000001</v>
      </c>
    </row>
    <row r="342" spans="1:18" ht="15" x14ac:dyDescent="0.25">
      <c r="A342" s="214" t="s">
        <v>396</v>
      </c>
      <c r="E342" s="373" t="s">
        <v>397</v>
      </c>
      <c r="F342" s="373"/>
      <c r="G342" s="19" t="s">
        <v>166</v>
      </c>
      <c r="H342" s="19" t="s">
        <v>377</v>
      </c>
      <c r="I342" s="19"/>
      <c r="J342" s="19" t="s">
        <v>166</v>
      </c>
      <c r="K342" s="19" t="s">
        <v>377</v>
      </c>
      <c r="N342" s="19"/>
      <c r="O342" s="19">
        <v>-22.5</v>
      </c>
      <c r="P342" s="19">
        <v>-32.4</v>
      </c>
      <c r="Q342" s="231"/>
      <c r="R342" s="231"/>
    </row>
    <row r="343" spans="1:18" x14ac:dyDescent="0.2">
      <c r="A343" s="19"/>
      <c r="B343" s="19" t="s">
        <v>166</v>
      </c>
      <c r="C343" s="19" t="s">
        <v>377</v>
      </c>
      <c r="F343" s="368" t="s">
        <v>32</v>
      </c>
      <c r="G343" s="19">
        <v>0</v>
      </c>
      <c r="H343" s="19">
        <v>33</v>
      </c>
      <c r="I343" s="367" t="s">
        <v>36</v>
      </c>
      <c r="J343" s="19">
        <v>-6</v>
      </c>
      <c r="K343" s="19">
        <v>-4</v>
      </c>
      <c r="N343" s="222" t="s">
        <v>435</v>
      </c>
      <c r="O343" s="154">
        <v>-35</v>
      </c>
      <c r="P343" s="154">
        <v>3</v>
      </c>
      <c r="Q343" s="92">
        <v>-4.2900000000000001E-2</v>
      </c>
      <c r="R343" s="92">
        <v>1.5</v>
      </c>
    </row>
    <row r="344" spans="1:18" x14ac:dyDescent="0.2">
      <c r="A344" s="19" t="s">
        <v>2</v>
      </c>
      <c r="B344" s="19">
        <v>0</v>
      </c>
      <c r="C344" s="19">
        <v>40</v>
      </c>
      <c r="F344" s="368"/>
      <c r="G344" s="19">
        <v>-1</v>
      </c>
      <c r="H344" s="19">
        <v>33</v>
      </c>
      <c r="I344" s="368"/>
      <c r="J344" s="19">
        <v>1</v>
      </c>
      <c r="K344" s="19">
        <v>-32.4</v>
      </c>
      <c r="N344" s="92"/>
      <c r="O344" s="154">
        <v>0</v>
      </c>
      <c r="P344" s="154">
        <v>1.5</v>
      </c>
      <c r="Q344" s="92"/>
      <c r="R344" s="92"/>
    </row>
    <row r="345" spans="1:18" x14ac:dyDescent="0.2">
      <c r="A345" s="19" t="s">
        <v>5</v>
      </c>
      <c r="B345" s="19">
        <v>-38</v>
      </c>
      <c r="C345" s="19">
        <v>12.4</v>
      </c>
      <c r="F345" s="368"/>
      <c r="G345" s="19">
        <v>-1</v>
      </c>
      <c r="H345" s="19">
        <v>24.5</v>
      </c>
      <c r="I345" s="369"/>
      <c r="J345" s="19">
        <v>-22.5</v>
      </c>
      <c r="K345" s="19">
        <v>-32.4</v>
      </c>
      <c r="M345" s="232" t="s">
        <v>443</v>
      </c>
      <c r="N345" s="167" t="s">
        <v>436</v>
      </c>
      <c r="O345" s="19">
        <v>0</v>
      </c>
      <c r="P345" s="19">
        <v>-3</v>
      </c>
      <c r="Q345" s="92">
        <v>0</v>
      </c>
      <c r="R345" s="92">
        <v>-3</v>
      </c>
    </row>
    <row r="346" spans="1:18" x14ac:dyDescent="0.2">
      <c r="A346" s="19" t="s">
        <v>3</v>
      </c>
      <c r="B346" s="19">
        <v>-23.5</v>
      </c>
      <c r="C346" s="19">
        <v>-32.4</v>
      </c>
      <c r="F346" s="368"/>
      <c r="G346" s="19">
        <v>0</v>
      </c>
      <c r="H346" s="19">
        <v>24.5</v>
      </c>
      <c r="I346" s="367" t="s">
        <v>38</v>
      </c>
      <c r="J346" s="212">
        <v>-6</v>
      </c>
      <c r="K346" s="212">
        <v>-4</v>
      </c>
      <c r="N346" s="92"/>
      <c r="O346" s="19">
        <v>-3.5</v>
      </c>
      <c r="P346" s="19">
        <v>-3</v>
      </c>
      <c r="Q346" s="92"/>
      <c r="R346" s="92"/>
    </row>
    <row r="347" spans="1:18" x14ac:dyDescent="0.2">
      <c r="A347" s="19" t="s">
        <v>4</v>
      </c>
      <c r="B347" s="19">
        <v>23.5</v>
      </c>
      <c r="C347" s="19">
        <v>-32.4</v>
      </c>
      <c r="F347" s="374"/>
      <c r="G347" s="19"/>
      <c r="H347" s="19"/>
      <c r="I347" s="368"/>
      <c r="J347" s="212">
        <v>-22.5</v>
      </c>
      <c r="K347" s="212">
        <v>-32.4</v>
      </c>
      <c r="N347" s="167" t="s">
        <v>437</v>
      </c>
      <c r="O347" s="19">
        <v>-3.5</v>
      </c>
      <c r="P347" s="19">
        <v>-3</v>
      </c>
      <c r="Q347" s="92">
        <v>-4.9000000000000004</v>
      </c>
      <c r="R347" s="92">
        <v>-20.149999999999999</v>
      </c>
    </row>
    <row r="348" spans="1:18" x14ac:dyDescent="0.2">
      <c r="A348" s="19" t="s">
        <v>6</v>
      </c>
      <c r="B348" s="19">
        <v>38</v>
      </c>
      <c r="C348" s="19">
        <v>12.4</v>
      </c>
      <c r="F348" s="367" t="s">
        <v>40</v>
      </c>
      <c r="G348" s="19">
        <v>0</v>
      </c>
      <c r="H348" s="19">
        <v>40</v>
      </c>
      <c r="I348" s="368"/>
      <c r="J348" s="212">
        <v>-23.5</v>
      </c>
      <c r="K348" s="212">
        <v>-32.4</v>
      </c>
      <c r="N348" s="92"/>
      <c r="O348" s="19">
        <v>2.5</v>
      </c>
      <c r="P348" s="19">
        <v>-32.4</v>
      </c>
      <c r="Q348" s="92"/>
      <c r="R348" s="92"/>
    </row>
    <row r="349" spans="1:18" x14ac:dyDescent="0.2">
      <c r="A349" s="19" t="s">
        <v>2</v>
      </c>
      <c r="B349" s="19">
        <v>0</v>
      </c>
      <c r="C349" s="19">
        <v>40</v>
      </c>
      <c r="F349" s="368"/>
      <c r="G349" s="19">
        <v>38</v>
      </c>
      <c r="H349" s="19">
        <v>12</v>
      </c>
      <c r="I349" s="368"/>
      <c r="J349" s="212">
        <v>-35</v>
      </c>
      <c r="K349" s="212">
        <v>3</v>
      </c>
      <c r="N349" s="167" t="s">
        <v>438</v>
      </c>
      <c r="O349" s="19">
        <v>-3.5</v>
      </c>
      <c r="P349" s="19">
        <v>-3</v>
      </c>
      <c r="Q349" s="92">
        <v>0.66669999999999996</v>
      </c>
      <c r="R349" s="92">
        <v>-0.66669999999999996</v>
      </c>
    </row>
    <row r="350" spans="1:18" x14ac:dyDescent="0.2">
      <c r="A350" s="90"/>
      <c r="B350" s="90"/>
      <c r="C350" s="90"/>
      <c r="F350" s="368"/>
      <c r="G350" s="19">
        <v>32</v>
      </c>
      <c r="H350" s="19">
        <v>-6.1</v>
      </c>
      <c r="I350" s="369"/>
      <c r="J350" s="212">
        <v>0</v>
      </c>
      <c r="K350" s="212">
        <v>1.5</v>
      </c>
      <c r="N350" s="92"/>
      <c r="O350" s="19">
        <v>-11</v>
      </c>
      <c r="P350" s="19">
        <v>-8</v>
      </c>
      <c r="Q350" s="92"/>
      <c r="R350" s="92"/>
    </row>
    <row r="351" spans="1:18" x14ac:dyDescent="0.2">
      <c r="F351" s="368"/>
      <c r="G351" s="19">
        <v>4</v>
      </c>
      <c r="H351" s="19">
        <v>16</v>
      </c>
      <c r="I351" s="367" t="s">
        <v>280</v>
      </c>
      <c r="J351" s="212">
        <v>0</v>
      </c>
      <c r="K351" s="212">
        <v>-3</v>
      </c>
      <c r="N351" s="167" t="s">
        <v>439</v>
      </c>
      <c r="O351" s="19">
        <v>-11</v>
      </c>
      <c r="P351" s="19">
        <v>-8</v>
      </c>
      <c r="Q351" s="92">
        <v>2.3237999999999999</v>
      </c>
      <c r="R351" s="92">
        <v>17.562000000000001</v>
      </c>
    </row>
    <row r="352" spans="1:18" ht="15" x14ac:dyDescent="0.25">
      <c r="A352" s="371" t="s">
        <v>398</v>
      </c>
      <c r="B352" s="371"/>
      <c r="C352" s="371"/>
      <c r="F352" s="368"/>
      <c r="G352" s="19">
        <v>0</v>
      </c>
      <c r="H352" s="19">
        <v>1.5</v>
      </c>
      <c r="I352" s="368"/>
      <c r="J352" s="19">
        <v>0</v>
      </c>
      <c r="K352" s="19">
        <v>1.5</v>
      </c>
      <c r="N352" s="92"/>
      <c r="O352" s="19">
        <v>-21.5</v>
      </c>
      <c r="P352" s="19">
        <v>-32.4</v>
      </c>
      <c r="Q352" s="92"/>
      <c r="R352" s="92"/>
    </row>
    <row r="353" spans="1:18" x14ac:dyDescent="0.2">
      <c r="A353" s="19" t="s">
        <v>399</v>
      </c>
      <c r="B353" s="19">
        <v>0</v>
      </c>
      <c r="C353" s="19">
        <v>0</v>
      </c>
      <c r="F353" s="369"/>
      <c r="G353" s="215">
        <v>0</v>
      </c>
      <c r="H353" s="215">
        <v>40</v>
      </c>
      <c r="I353" s="368"/>
      <c r="J353" s="19">
        <v>-35</v>
      </c>
      <c r="K353" s="19">
        <v>3.1</v>
      </c>
      <c r="N353" s="92"/>
      <c r="O353" s="92"/>
      <c r="P353" s="92"/>
      <c r="Q353" s="92"/>
      <c r="R353" s="92"/>
    </row>
    <row r="354" spans="1:18" x14ac:dyDescent="0.2">
      <c r="A354" s="19"/>
      <c r="B354" s="19">
        <v>0</v>
      </c>
      <c r="C354" s="19">
        <v>40</v>
      </c>
      <c r="F354" s="367" t="s">
        <v>42</v>
      </c>
      <c r="G354" s="19">
        <v>4</v>
      </c>
      <c r="H354" s="19">
        <v>16</v>
      </c>
      <c r="I354" s="368"/>
      <c r="J354" s="19">
        <v>-38</v>
      </c>
      <c r="K354" s="19">
        <v>12.4</v>
      </c>
      <c r="N354" s="92"/>
      <c r="O354" s="92"/>
      <c r="P354" s="92"/>
      <c r="Q354" s="92"/>
      <c r="R354" s="92"/>
    </row>
    <row r="355" spans="1:18" x14ac:dyDescent="0.2">
      <c r="A355" s="19" t="s">
        <v>400</v>
      </c>
      <c r="B355" s="19">
        <v>0</v>
      </c>
      <c r="C355" s="19">
        <v>0</v>
      </c>
      <c r="F355" s="368"/>
      <c r="G355" s="19">
        <v>32</v>
      </c>
      <c r="H355" s="19">
        <v>-6.1</v>
      </c>
      <c r="I355" s="368"/>
      <c r="J355" s="19">
        <v>0</v>
      </c>
      <c r="K355" s="19">
        <v>40</v>
      </c>
      <c r="N355" s="92"/>
      <c r="O355" s="92"/>
      <c r="P355" s="92"/>
      <c r="Q355" s="92"/>
      <c r="R355" s="92"/>
    </row>
    <row r="356" spans="1:18" x14ac:dyDescent="0.2">
      <c r="A356" s="19"/>
      <c r="B356" s="19">
        <v>-38</v>
      </c>
      <c r="C356" s="19">
        <v>12.4</v>
      </c>
      <c r="F356" s="368"/>
      <c r="G356" s="19">
        <v>24.3</v>
      </c>
      <c r="H356" s="19">
        <v>-30</v>
      </c>
      <c r="I356" s="368"/>
      <c r="J356" s="19">
        <v>0</v>
      </c>
      <c r="K356" s="19">
        <v>33</v>
      </c>
    </row>
    <row r="357" spans="1:18" x14ac:dyDescent="0.2">
      <c r="A357" s="19" t="s">
        <v>401</v>
      </c>
      <c r="B357" s="19">
        <v>0</v>
      </c>
      <c r="C357" s="19">
        <v>0</v>
      </c>
      <c r="F357" s="368"/>
      <c r="G357" s="19">
        <v>0</v>
      </c>
      <c r="H357" s="19">
        <v>-3</v>
      </c>
      <c r="I357" s="368"/>
      <c r="J357" s="19">
        <v>-1</v>
      </c>
      <c r="K357" s="19">
        <v>33</v>
      </c>
    </row>
    <row r="358" spans="1:18" x14ac:dyDescent="0.2">
      <c r="A358" s="19"/>
      <c r="B358" s="19">
        <v>-23.5</v>
      </c>
      <c r="C358" s="19">
        <v>-32.4</v>
      </c>
      <c r="F358" s="369"/>
      <c r="G358" s="19">
        <v>0</v>
      </c>
      <c r="H358" s="19">
        <v>1.5</v>
      </c>
      <c r="I358" s="368"/>
      <c r="J358" s="19">
        <v>-1</v>
      </c>
      <c r="K358" s="19">
        <v>24.5</v>
      </c>
    </row>
    <row r="359" spans="1:18" x14ac:dyDescent="0.2">
      <c r="A359" s="19" t="s">
        <v>402</v>
      </c>
      <c r="B359" s="19">
        <v>0</v>
      </c>
      <c r="C359" s="19">
        <v>0</v>
      </c>
      <c r="F359" s="367" t="s">
        <v>34</v>
      </c>
      <c r="G359" s="19">
        <v>0</v>
      </c>
      <c r="H359" s="19">
        <v>-3</v>
      </c>
      <c r="I359" s="369"/>
      <c r="J359" s="19">
        <v>0</v>
      </c>
      <c r="K359" s="19">
        <v>24.5</v>
      </c>
    </row>
    <row r="360" spans="1:18" x14ac:dyDescent="0.2">
      <c r="A360" s="19"/>
      <c r="B360" s="19">
        <v>23.5</v>
      </c>
      <c r="C360" s="19">
        <v>-32.4</v>
      </c>
      <c r="F360" s="368"/>
      <c r="G360" s="19">
        <v>24.3</v>
      </c>
      <c r="H360" s="19">
        <v>-30</v>
      </c>
      <c r="I360" s="19"/>
      <c r="J360" s="19"/>
      <c r="K360" s="19"/>
    </row>
    <row r="361" spans="1:18" x14ac:dyDescent="0.2">
      <c r="A361" s="19" t="s">
        <v>403</v>
      </c>
      <c r="B361" s="19">
        <v>0</v>
      </c>
      <c r="C361" s="19">
        <v>0</v>
      </c>
      <c r="F361" s="368"/>
      <c r="G361" s="19">
        <v>23.5</v>
      </c>
      <c r="H361" s="19">
        <v>-32.4</v>
      </c>
      <c r="I361" s="19"/>
      <c r="J361" s="19"/>
      <c r="K361" s="19"/>
    </row>
    <row r="362" spans="1:18" x14ac:dyDescent="0.2">
      <c r="A362" s="19"/>
      <c r="B362" s="19">
        <v>38</v>
      </c>
      <c r="C362" s="19">
        <v>12.4</v>
      </c>
      <c r="F362" s="368"/>
      <c r="G362" s="19">
        <v>1</v>
      </c>
      <c r="H362" s="19">
        <v>-32.4</v>
      </c>
      <c r="I362" s="19"/>
      <c r="J362" s="19"/>
      <c r="K362" s="19"/>
    </row>
    <row r="363" spans="1:18" x14ac:dyDescent="0.2">
      <c r="A363" s="19"/>
      <c r="B363" s="19"/>
      <c r="C363" s="19"/>
      <c r="F363" s="368"/>
      <c r="G363" s="19">
        <v>-6</v>
      </c>
      <c r="H363" s="19">
        <v>-4</v>
      </c>
      <c r="I363" s="19"/>
      <c r="J363" s="19"/>
      <c r="K363" s="19"/>
    </row>
    <row r="364" spans="1:18" x14ac:dyDescent="0.2">
      <c r="A364" s="177"/>
      <c r="B364" s="177"/>
      <c r="C364" s="177"/>
      <c r="F364" s="369"/>
      <c r="G364" s="19">
        <v>0</v>
      </c>
      <c r="H364" s="19">
        <v>-3</v>
      </c>
      <c r="I364" s="177"/>
      <c r="J364" s="177"/>
      <c r="K364" s="177"/>
    </row>
    <row r="365" spans="1:18" x14ac:dyDescent="0.2">
      <c r="F365" s="367" t="s">
        <v>404</v>
      </c>
      <c r="G365" s="19">
        <v>0</v>
      </c>
      <c r="H365" s="19">
        <v>-3</v>
      </c>
    </row>
    <row r="366" spans="1:18" x14ac:dyDescent="0.2">
      <c r="F366" s="368"/>
      <c r="G366" s="19">
        <v>24.3</v>
      </c>
      <c r="H366" s="19">
        <v>-30</v>
      </c>
    </row>
    <row r="367" spans="1:18" x14ac:dyDescent="0.2">
      <c r="F367" s="368"/>
      <c r="G367" s="19">
        <v>23.5</v>
      </c>
      <c r="H367" s="19">
        <v>-32.4</v>
      </c>
    </row>
    <row r="368" spans="1:18" x14ac:dyDescent="0.2">
      <c r="F368" s="368"/>
      <c r="G368" s="19">
        <v>2.5</v>
      </c>
      <c r="H368" s="19">
        <v>-32.4</v>
      </c>
    </row>
    <row r="369" spans="6:8" x14ac:dyDescent="0.2">
      <c r="F369" s="368"/>
      <c r="G369" s="19">
        <v>-3.5</v>
      </c>
      <c r="H369" s="19">
        <v>-3</v>
      </c>
    </row>
    <row r="370" spans="6:8" x14ac:dyDescent="0.2">
      <c r="F370" s="369"/>
      <c r="G370" s="19">
        <v>0</v>
      </c>
      <c r="H370" s="19">
        <v>-3</v>
      </c>
    </row>
    <row r="371" spans="6:8" x14ac:dyDescent="0.2">
      <c r="F371" s="367" t="s">
        <v>293</v>
      </c>
      <c r="G371" s="19">
        <v>-3.5</v>
      </c>
      <c r="H371" s="19">
        <v>-3</v>
      </c>
    </row>
    <row r="372" spans="6:8" x14ac:dyDescent="0.2">
      <c r="F372" s="368"/>
      <c r="G372" s="19">
        <v>2.5</v>
      </c>
      <c r="H372" s="19">
        <v>-32.4</v>
      </c>
    </row>
    <row r="373" spans="6:8" x14ac:dyDescent="0.2">
      <c r="F373" s="368"/>
      <c r="G373" s="19">
        <v>-23.5</v>
      </c>
      <c r="H373" s="19">
        <v>-32.4</v>
      </c>
    </row>
    <row r="374" spans="6:8" x14ac:dyDescent="0.2">
      <c r="F374" s="369"/>
      <c r="G374" s="19">
        <v>-11</v>
      </c>
      <c r="H374" s="19">
        <v>-8</v>
      </c>
    </row>
    <row r="375" spans="6:8" x14ac:dyDescent="0.2">
      <c r="F375" s="367">
        <v>0</v>
      </c>
      <c r="G375" s="19">
        <v>-3.5</v>
      </c>
      <c r="H375" s="19">
        <v>-3</v>
      </c>
    </row>
    <row r="376" spans="6:8" x14ac:dyDescent="0.2">
      <c r="F376" s="368"/>
      <c r="G376" s="19">
        <v>-11</v>
      </c>
      <c r="H376" s="19">
        <v>-8</v>
      </c>
    </row>
    <row r="377" spans="6:8" x14ac:dyDescent="0.2">
      <c r="F377" s="368"/>
      <c r="G377" s="19">
        <v>-21.5</v>
      </c>
      <c r="H377" s="19">
        <v>-32.4</v>
      </c>
    </row>
    <row r="378" spans="6:8" x14ac:dyDescent="0.2">
      <c r="F378" s="368"/>
      <c r="G378" s="19">
        <v>-23.5</v>
      </c>
      <c r="H378" s="19">
        <v>-32.4</v>
      </c>
    </row>
    <row r="379" spans="6:8" x14ac:dyDescent="0.2">
      <c r="F379" s="368"/>
      <c r="G379" s="19">
        <v>-35</v>
      </c>
      <c r="H379" s="19">
        <v>3.1</v>
      </c>
    </row>
    <row r="380" spans="6:8" x14ac:dyDescent="0.2">
      <c r="F380" s="368"/>
      <c r="G380" s="19">
        <v>0</v>
      </c>
      <c r="H380" s="19">
        <v>1.5</v>
      </c>
    </row>
    <row r="381" spans="6:8" x14ac:dyDescent="0.2">
      <c r="F381" s="369"/>
      <c r="G381" s="19">
        <v>0</v>
      </c>
      <c r="H381" s="19">
        <v>-3</v>
      </c>
    </row>
  </sheetData>
  <sheetProtection password="DDCC" sheet="1"/>
  <mergeCells count="97">
    <mergeCell ref="A92:B92"/>
    <mergeCell ref="A52:B52"/>
    <mergeCell ref="A21:C21"/>
    <mergeCell ref="A1:B1"/>
    <mergeCell ref="A179:D179"/>
    <mergeCell ref="A313:C313"/>
    <mergeCell ref="A295:A303"/>
    <mergeCell ref="A264:A267"/>
    <mergeCell ref="A268:A271"/>
    <mergeCell ref="A272:A275"/>
    <mergeCell ref="A276:A284"/>
    <mergeCell ref="A285:A290"/>
    <mergeCell ref="A291:A294"/>
    <mergeCell ref="A212:A215"/>
    <mergeCell ref="A216:A218"/>
    <mergeCell ref="A219:A230"/>
    <mergeCell ref="A231:A236"/>
    <mergeCell ref="B198:N198"/>
    <mergeCell ref="G191:N191"/>
    <mergeCell ref="G192:N192"/>
    <mergeCell ref="G193:N193"/>
    <mergeCell ref="G194:N194"/>
    <mergeCell ref="G182:N182"/>
    <mergeCell ref="A164:C164"/>
    <mergeCell ref="J167:N167"/>
    <mergeCell ref="J168:N169"/>
    <mergeCell ref="G189:N189"/>
    <mergeCell ref="K170:N170"/>
    <mergeCell ref="G186:N186"/>
    <mergeCell ref="G187:N187"/>
    <mergeCell ref="K171:N171"/>
    <mergeCell ref="B116:G116"/>
    <mergeCell ref="B114:G114"/>
    <mergeCell ref="G188:N188"/>
    <mergeCell ref="G185:N185"/>
    <mergeCell ref="H145:N145"/>
    <mergeCell ref="H146:N147"/>
    <mergeCell ref="J152:N152"/>
    <mergeCell ref="G162:H162"/>
    <mergeCell ref="G183:N183"/>
    <mergeCell ref="H129:N129"/>
    <mergeCell ref="K95:M95"/>
    <mergeCell ref="K96:M96"/>
    <mergeCell ref="K97:M97"/>
    <mergeCell ref="K98:M98"/>
    <mergeCell ref="A103:B103"/>
    <mergeCell ref="B107:G107"/>
    <mergeCell ref="B112:G112"/>
    <mergeCell ref="B111:G111"/>
    <mergeCell ref="B113:G113"/>
    <mergeCell ref="B118:G118"/>
    <mergeCell ref="E93:H93"/>
    <mergeCell ref="B105:G105"/>
    <mergeCell ref="B106:G106"/>
    <mergeCell ref="C104:H104"/>
    <mergeCell ref="B117:G117"/>
    <mergeCell ref="B115:G115"/>
    <mergeCell ref="B108:G108"/>
    <mergeCell ref="B109:G109"/>
    <mergeCell ref="B110:G110"/>
    <mergeCell ref="I270:I271"/>
    <mergeCell ref="B123:G123"/>
    <mergeCell ref="B119:G119"/>
    <mergeCell ref="B120:G120"/>
    <mergeCell ref="B121:G121"/>
    <mergeCell ref="B122:G122"/>
    <mergeCell ref="G181:N181"/>
    <mergeCell ref="A126:F126"/>
    <mergeCell ref="I324:K324"/>
    <mergeCell ref="I325:K325"/>
    <mergeCell ref="I326:K326"/>
    <mergeCell ref="F141:H141"/>
    <mergeCell ref="A143:B143"/>
    <mergeCell ref="K172:N172"/>
    <mergeCell ref="H177:J177"/>
    <mergeCell ref="A127:B127"/>
    <mergeCell ref="H130:N131"/>
    <mergeCell ref="I346:I350"/>
    <mergeCell ref="F348:F353"/>
    <mergeCell ref="I351:I359"/>
    <mergeCell ref="A352:C352"/>
    <mergeCell ref="F354:F358"/>
    <mergeCell ref="G184:N184"/>
    <mergeCell ref="A208:A211"/>
    <mergeCell ref="G190:N190"/>
    <mergeCell ref="G195:N195"/>
    <mergeCell ref="G196:N196"/>
    <mergeCell ref="F371:F374"/>
    <mergeCell ref="F375:F381"/>
    <mergeCell ref="F359:F364"/>
    <mergeCell ref="F365:F370"/>
    <mergeCell ref="I327:K327"/>
    <mergeCell ref="A329:C329"/>
    <mergeCell ref="A338:C338"/>
    <mergeCell ref="E342:F342"/>
    <mergeCell ref="F343:F347"/>
    <mergeCell ref="I343:I345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77"/>
  <sheetViews>
    <sheetView topLeftCell="A70" workbookViewId="0">
      <selection activeCell="J10" sqref="J10"/>
    </sheetView>
  </sheetViews>
  <sheetFormatPr defaultRowHeight="12.75" x14ac:dyDescent="0.2"/>
  <sheetData>
    <row r="1" spans="1:9" s="5" customFormat="1" ht="15.75" x14ac:dyDescent="0.25">
      <c r="D1" s="6" t="s">
        <v>0</v>
      </c>
      <c r="E1" s="6"/>
      <c r="F1" s="6"/>
      <c r="G1" s="6"/>
    </row>
    <row r="2" spans="1:9" s="5" customFormat="1" ht="15.75" x14ac:dyDescent="0.25"/>
    <row r="3" spans="1:9" s="5" customFormat="1" ht="15.75" x14ac:dyDescent="0.25">
      <c r="A3" s="290" t="s">
        <v>63</v>
      </c>
      <c r="B3" s="290"/>
      <c r="C3" s="423" t="s">
        <v>246</v>
      </c>
      <c r="D3" s="423"/>
      <c r="E3" s="423"/>
      <c r="F3" s="423"/>
      <c r="G3" s="423"/>
      <c r="H3" s="423"/>
    </row>
    <row r="4" spans="1:9" s="5" customFormat="1" ht="15.75" x14ac:dyDescent="0.25">
      <c r="A4" s="290" t="s">
        <v>251</v>
      </c>
      <c r="B4" s="290"/>
      <c r="C4" s="423" t="s">
        <v>247</v>
      </c>
      <c r="D4" s="423"/>
      <c r="E4" s="423"/>
      <c r="F4" s="423"/>
      <c r="G4" s="423"/>
      <c r="H4" s="423"/>
    </row>
    <row r="5" spans="1:9" s="5" customFormat="1" ht="15.75" x14ac:dyDescent="0.25">
      <c r="A5" s="290" t="s">
        <v>65</v>
      </c>
      <c r="B5" s="290"/>
      <c r="C5" s="423" t="s">
        <v>248</v>
      </c>
      <c r="D5" s="423"/>
      <c r="E5" s="423"/>
      <c r="F5" s="423"/>
      <c r="G5" s="423"/>
      <c r="H5" s="423"/>
    </row>
    <row r="6" spans="1:9" s="5" customFormat="1" ht="15.75" x14ac:dyDescent="0.25">
      <c r="A6" s="290" t="s">
        <v>66</v>
      </c>
      <c r="B6" s="290"/>
      <c r="C6" s="423" t="s">
        <v>249</v>
      </c>
      <c r="D6" s="423"/>
      <c r="E6" s="423"/>
      <c r="F6" s="423"/>
      <c r="G6" s="423"/>
      <c r="H6" s="423"/>
    </row>
    <row r="7" spans="1:9" s="5" customFormat="1" ht="15.75" x14ac:dyDescent="0.25">
      <c r="A7" s="6"/>
    </row>
    <row r="8" spans="1:9" s="5" customFormat="1" ht="15.75" x14ac:dyDescent="0.25">
      <c r="A8" s="286" t="s">
        <v>171</v>
      </c>
      <c r="B8" s="287"/>
      <c r="C8" s="287"/>
      <c r="D8" s="287"/>
      <c r="E8" s="287"/>
      <c r="F8" s="183"/>
      <c r="G8" s="24"/>
      <c r="H8" s="24"/>
      <c r="I8" s="42"/>
    </row>
    <row r="9" spans="1:9" s="5" customFormat="1" ht="15.75" x14ac:dyDescent="0.25">
      <c r="A9" s="8" t="s">
        <v>2</v>
      </c>
      <c r="B9" s="8" t="s">
        <v>3</v>
      </c>
      <c r="C9" s="8" t="s">
        <v>4</v>
      </c>
      <c r="D9" s="8" t="s">
        <v>5</v>
      </c>
      <c r="E9" s="7" t="s">
        <v>6</v>
      </c>
      <c r="F9" s="8" t="s">
        <v>7</v>
      </c>
      <c r="G9" s="45"/>
      <c r="H9" s="43"/>
      <c r="I9" s="43"/>
    </row>
    <row r="10" spans="1:9" s="5" customFormat="1" ht="15.75" x14ac:dyDescent="0.25">
      <c r="A10" s="108">
        <v>500</v>
      </c>
      <c r="B10" s="108">
        <v>1500</v>
      </c>
      <c r="C10" s="108">
        <v>2500</v>
      </c>
      <c r="D10" s="108">
        <v>800</v>
      </c>
      <c r="E10" s="125">
        <v>5000</v>
      </c>
      <c r="F10" s="184">
        <v>750</v>
      </c>
      <c r="G10" s="120"/>
      <c r="H10" s="120"/>
      <c r="I10" s="126"/>
    </row>
    <row r="11" spans="1:9" s="5" customFormat="1" ht="15.75" x14ac:dyDescent="0.25">
      <c r="A11" s="424" t="s">
        <v>11</v>
      </c>
      <c r="B11" s="425"/>
      <c r="C11" s="425"/>
      <c r="D11" s="425"/>
      <c r="E11" s="425"/>
      <c r="F11" s="426"/>
      <c r="G11" s="426"/>
      <c r="H11" s="427"/>
      <c r="I11" s="126"/>
    </row>
    <row r="12" spans="1:9" s="5" customFormat="1" ht="15.75" x14ac:dyDescent="0.25">
      <c r="A12" s="119"/>
      <c r="B12" s="119"/>
      <c r="C12" s="119"/>
      <c r="D12" s="119"/>
      <c r="E12" s="119"/>
      <c r="F12" s="119"/>
      <c r="G12" s="119"/>
      <c r="H12" s="119"/>
      <c r="I12" s="126"/>
    </row>
    <row r="13" spans="1:9" s="5" customFormat="1" ht="15.75" x14ac:dyDescent="0.25">
      <c r="A13" s="397" t="s">
        <v>172</v>
      </c>
      <c r="B13" s="398"/>
      <c r="C13" s="398"/>
      <c r="D13" s="398"/>
      <c r="E13" s="398"/>
      <c r="F13" s="398"/>
      <c r="G13" s="398"/>
      <c r="H13" s="398"/>
      <c r="I13" s="398"/>
    </row>
    <row r="14" spans="1:9" s="5" customFormat="1" ht="15.75" x14ac:dyDescent="0.25">
      <c r="A14" s="8" t="s">
        <v>2</v>
      </c>
      <c r="B14" s="8"/>
      <c r="C14" s="8" t="s">
        <v>4</v>
      </c>
      <c r="D14" s="8"/>
      <c r="E14" s="8" t="s">
        <v>6</v>
      </c>
      <c r="F14" s="286" t="s">
        <v>173</v>
      </c>
      <c r="G14" s="428"/>
      <c r="H14" s="428"/>
      <c r="I14" s="429"/>
    </row>
    <row r="15" spans="1:9" s="5" customFormat="1" ht="15.75" x14ac:dyDescent="0.25">
      <c r="A15" s="52" t="s">
        <v>174</v>
      </c>
      <c r="B15" s="52"/>
      <c r="C15" s="52" t="s">
        <v>175</v>
      </c>
      <c r="D15" s="52"/>
      <c r="E15" s="52" t="s">
        <v>175</v>
      </c>
      <c r="F15" s="398" t="s">
        <v>176</v>
      </c>
      <c r="G15" s="398"/>
      <c r="H15" s="398"/>
      <c r="I15" s="398"/>
    </row>
    <row r="16" spans="1:9" s="5" customFormat="1" ht="15.75" x14ac:dyDescent="0.25">
      <c r="A16" s="52" t="s">
        <v>177</v>
      </c>
      <c r="B16" s="52"/>
      <c r="C16" s="52" t="s">
        <v>178</v>
      </c>
      <c r="D16" s="22"/>
      <c r="E16" s="52" t="s">
        <v>179</v>
      </c>
      <c r="F16" s="398" t="s">
        <v>180</v>
      </c>
      <c r="G16" s="398"/>
      <c r="H16" s="398"/>
      <c r="I16" s="398"/>
    </row>
    <row r="17" spans="1:11" s="5" customFormat="1" ht="15.75" x14ac:dyDescent="0.25">
      <c r="A17" s="52" t="s">
        <v>181</v>
      </c>
      <c r="B17" s="52"/>
      <c r="C17" s="52" t="s">
        <v>182</v>
      </c>
      <c r="D17" s="22"/>
      <c r="E17" s="52" t="s">
        <v>183</v>
      </c>
      <c r="F17" s="398" t="s">
        <v>184</v>
      </c>
      <c r="G17" s="398"/>
      <c r="H17" s="398"/>
      <c r="I17" s="398"/>
    </row>
    <row r="18" spans="1:11" s="5" customFormat="1" ht="15.75" x14ac:dyDescent="0.25">
      <c r="A18" s="286" t="s">
        <v>185</v>
      </c>
      <c r="B18" s="287"/>
      <c r="C18" s="287"/>
      <c r="D18" s="287"/>
      <c r="E18" s="287"/>
      <c r="F18" s="287"/>
      <c r="G18" s="287"/>
      <c r="H18" s="287"/>
      <c r="I18" s="288"/>
    </row>
    <row r="19" spans="1:11" s="5" customFormat="1" ht="15.75" x14ac:dyDescent="0.25">
      <c r="A19" s="286" t="s">
        <v>186</v>
      </c>
      <c r="B19" s="287"/>
      <c r="C19" s="287"/>
      <c r="D19" s="288"/>
      <c r="E19" s="286" t="s">
        <v>187</v>
      </c>
      <c r="F19" s="287"/>
      <c r="G19" s="287"/>
      <c r="H19" s="287"/>
      <c r="I19" s="288"/>
    </row>
    <row r="20" spans="1:11" s="5" customFormat="1" ht="15.75" x14ac:dyDescent="0.25">
      <c r="A20" s="273" t="s">
        <v>188</v>
      </c>
      <c r="B20" s="274"/>
      <c r="C20" s="274"/>
      <c r="D20" s="275"/>
      <c r="E20" s="416" t="str">
        <f>Sheet4!F43</f>
        <v>Bình Thường</v>
      </c>
      <c r="F20" s="417"/>
      <c r="G20" s="417"/>
      <c r="H20" s="417"/>
      <c r="I20" s="418"/>
    </row>
    <row r="21" spans="1:11" s="5" customFormat="1" ht="15.75" x14ac:dyDescent="0.25">
      <c r="A21" s="273" t="s">
        <v>189</v>
      </c>
      <c r="B21" s="274"/>
      <c r="C21" s="274"/>
      <c r="D21" s="275"/>
      <c r="E21" s="416" t="str">
        <f>Sheet4!F53</f>
        <v>Bình thường</v>
      </c>
      <c r="F21" s="417"/>
      <c r="G21" s="417"/>
      <c r="H21" s="417"/>
      <c r="I21" s="418"/>
    </row>
    <row r="22" spans="1:11" s="5" customFormat="1" ht="15.75" x14ac:dyDescent="0.25">
      <c r="A22" s="273" t="s">
        <v>190</v>
      </c>
      <c r="B22" s="274"/>
      <c r="C22" s="274"/>
      <c r="D22" s="275"/>
      <c r="E22" s="416" t="str">
        <f>Sheet4!H58</f>
        <v>Kiểm tra lại sau 3-6 tháng</v>
      </c>
      <c r="F22" s="417"/>
      <c r="G22" s="417"/>
      <c r="H22" s="417"/>
      <c r="I22" s="418"/>
    </row>
    <row r="23" spans="1:11" s="5" customFormat="1" ht="15.75" x14ac:dyDescent="0.25">
      <c r="A23" s="273" t="s">
        <v>191</v>
      </c>
      <c r="B23" s="274"/>
      <c r="C23" s="274"/>
      <c r="D23" s="275"/>
      <c r="E23" s="416" t="str">
        <f>Sheet4!H73</f>
        <v>Bình thường</v>
      </c>
      <c r="F23" s="417"/>
      <c r="G23" s="417"/>
      <c r="H23" s="417"/>
      <c r="I23" s="418"/>
    </row>
    <row r="24" spans="1:11" s="5" customFormat="1" ht="15.75" x14ac:dyDescent="0.25">
      <c r="A24" s="419" t="s">
        <v>192</v>
      </c>
      <c r="B24" s="419"/>
      <c r="C24" s="419"/>
      <c r="D24" s="419"/>
      <c r="E24" s="420" t="str">
        <f>Sheet4!J24</f>
        <v>X3</v>
      </c>
      <c r="F24" s="420"/>
      <c r="G24" s="420"/>
      <c r="H24" s="420"/>
      <c r="I24" s="420"/>
    </row>
    <row r="25" spans="1:11" s="5" customFormat="1" ht="15.75" x14ac:dyDescent="0.25">
      <c r="A25" s="4"/>
      <c r="B25" s="4"/>
      <c r="C25" s="4"/>
      <c r="D25" s="4"/>
      <c r="E25" s="127"/>
      <c r="F25" s="127"/>
      <c r="G25" s="127"/>
      <c r="H25" s="127"/>
      <c r="I25" s="127"/>
    </row>
    <row r="26" spans="1:11" s="5" customFormat="1" ht="15.75" x14ac:dyDescent="0.25">
      <c r="A26" s="421" t="s">
        <v>250</v>
      </c>
      <c r="B26" s="421"/>
      <c r="C26" s="421"/>
      <c r="D26" s="422" t="s">
        <v>102</v>
      </c>
      <c r="E26" s="422"/>
      <c r="F26" s="422"/>
      <c r="G26" s="422"/>
      <c r="H26" s="422"/>
      <c r="I26" s="422"/>
    </row>
    <row r="28" spans="1:11" ht="15.75" x14ac:dyDescent="0.25">
      <c r="A28" s="415" t="s">
        <v>245</v>
      </c>
      <c r="B28" s="415"/>
      <c r="C28" s="415"/>
      <c r="D28" s="415"/>
      <c r="E28" s="5"/>
      <c r="F28" s="5"/>
      <c r="G28" s="5"/>
      <c r="H28" s="5"/>
      <c r="I28" s="5"/>
      <c r="J28" s="5"/>
      <c r="K28" s="5"/>
    </row>
    <row r="29" spans="1:11" ht="15.75" x14ac:dyDescent="0.25">
      <c r="A29" s="5"/>
      <c r="B29" s="5"/>
      <c r="C29" s="5"/>
      <c r="D29" s="5"/>
      <c r="E29" s="5"/>
      <c r="F29" s="286" t="s">
        <v>55</v>
      </c>
      <c r="G29" s="287"/>
      <c r="H29" s="287"/>
      <c r="I29" s="287"/>
      <c r="J29" s="287"/>
      <c r="K29" s="288"/>
    </row>
    <row r="30" spans="1:11" ht="15.75" x14ac:dyDescent="0.25">
      <c r="A30" s="52" t="s">
        <v>25</v>
      </c>
      <c r="B30" s="52"/>
      <c r="C30" s="52">
        <f>B10+C10+E10</f>
        <v>9000</v>
      </c>
      <c r="D30" s="5"/>
      <c r="E30" s="5"/>
      <c r="F30" s="8" t="s">
        <v>30</v>
      </c>
      <c r="G30" s="286" t="s">
        <v>31</v>
      </c>
      <c r="H30" s="287"/>
      <c r="I30" s="287"/>
      <c r="J30" s="287"/>
      <c r="K30" s="288"/>
    </row>
    <row r="31" spans="1:11" ht="15.75" x14ac:dyDescent="0.25">
      <c r="A31" s="5"/>
      <c r="B31" s="52" t="s">
        <v>26</v>
      </c>
      <c r="C31" s="128">
        <f>B10/C30</f>
        <v>0.16666666666666666</v>
      </c>
      <c r="D31" s="5"/>
      <c r="E31" s="5"/>
      <c r="F31" s="16" t="s">
        <v>193</v>
      </c>
      <c r="G31" s="273" t="s">
        <v>102</v>
      </c>
      <c r="H31" s="274"/>
      <c r="I31" s="274"/>
      <c r="J31" s="274"/>
      <c r="K31" s="275"/>
    </row>
    <row r="32" spans="1:11" ht="15.75" x14ac:dyDescent="0.25">
      <c r="A32" s="5"/>
      <c r="B32" s="52" t="s">
        <v>27</v>
      </c>
      <c r="C32" s="128">
        <f>C10/C30</f>
        <v>0.27777777777777779</v>
      </c>
      <c r="D32" s="5"/>
      <c r="E32" s="5"/>
      <c r="F32" s="16" t="s">
        <v>34</v>
      </c>
      <c r="G32" s="273" t="s">
        <v>199</v>
      </c>
      <c r="H32" s="274"/>
      <c r="I32" s="274"/>
      <c r="J32" s="274"/>
      <c r="K32" s="275"/>
    </row>
    <row r="33" spans="1:11" ht="15.75" x14ac:dyDescent="0.25">
      <c r="A33" s="5"/>
      <c r="B33" s="52" t="s">
        <v>28</v>
      </c>
      <c r="C33" s="128">
        <f>E10/C30</f>
        <v>0.55555555555555558</v>
      </c>
      <c r="D33" s="5"/>
      <c r="E33" s="5"/>
      <c r="F33" s="16" t="s">
        <v>36</v>
      </c>
      <c r="G33" s="273" t="s">
        <v>200</v>
      </c>
      <c r="H33" s="274"/>
      <c r="I33" s="274"/>
      <c r="J33" s="274"/>
      <c r="K33" s="275"/>
    </row>
    <row r="34" spans="1:11" ht="15.75" x14ac:dyDescent="0.25">
      <c r="A34" s="5"/>
      <c r="B34" s="5"/>
      <c r="C34" s="5"/>
      <c r="D34" s="5"/>
      <c r="E34" s="5"/>
      <c r="F34" s="16" t="s">
        <v>194</v>
      </c>
      <c r="G34" s="273" t="s">
        <v>196</v>
      </c>
      <c r="H34" s="274"/>
      <c r="I34" s="274"/>
      <c r="J34" s="274"/>
      <c r="K34" s="275"/>
    </row>
    <row r="35" spans="1:11" ht="15.75" x14ac:dyDescent="0.25">
      <c r="A35" s="129"/>
      <c r="B35" s="130"/>
      <c r="C35" s="130"/>
      <c r="D35" s="130"/>
      <c r="E35" s="130"/>
      <c r="F35" s="16" t="s">
        <v>40</v>
      </c>
      <c r="G35" s="273" t="s">
        <v>197</v>
      </c>
      <c r="H35" s="274"/>
      <c r="I35" s="274"/>
      <c r="J35" s="274"/>
      <c r="K35" s="275"/>
    </row>
    <row r="36" spans="1:11" ht="15.75" x14ac:dyDescent="0.25">
      <c r="A36" s="130"/>
      <c r="B36" s="130"/>
      <c r="C36" s="130"/>
      <c r="D36" s="130"/>
      <c r="E36" s="130"/>
      <c r="F36" s="16" t="s">
        <v>195</v>
      </c>
      <c r="G36" s="273" t="s">
        <v>198</v>
      </c>
      <c r="H36" s="274"/>
      <c r="I36" s="274"/>
      <c r="J36" s="274"/>
      <c r="K36" s="275"/>
    </row>
    <row r="37" spans="1:11" ht="15.75" x14ac:dyDescent="0.25">
      <c r="A37" s="131"/>
      <c r="B37" s="131"/>
      <c r="C37" s="131"/>
      <c r="D37" s="132"/>
      <c r="E37" s="132"/>
      <c r="F37" s="5"/>
      <c r="G37" s="5"/>
      <c r="H37" s="5"/>
      <c r="I37" s="5"/>
      <c r="J37" s="5"/>
      <c r="K37" s="5"/>
    </row>
    <row r="38" spans="1:11" ht="15.75" x14ac:dyDescent="0.25">
      <c r="A38" s="131"/>
      <c r="B38" s="131"/>
      <c r="C38" s="131"/>
      <c r="D38" s="132"/>
      <c r="E38" s="132"/>
      <c r="F38" s="5"/>
      <c r="G38" s="5"/>
      <c r="H38" s="5"/>
      <c r="I38" s="5"/>
      <c r="J38" s="5"/>
      <c r="K38" s="5"/>
    </row>
    <row r="39" spans="1:11" ht="15.75" x14ac:dyDescent="0.25">
      <c r="A39" s="131"/>
      <c r="B39" s="131"/>
      <c r="C39" s="131"/>
      <c r="D39" s="132"/>
      <c r="E39" s="132"/>
      <c r="F39" s="5"/>
      <c r="G39" s="5"/>
      <c r="H39" s="5"/>
      <c r="I39" s="5"/>
      <c r="J39" s="5"/>
      <c r="K39" s="5"/>
    </row>
    <row r="40" spans="1:11" ht="15.75" x14ac:dyDescent="0.25">
      <c r="A40" s="133"/>
      <c r="B40" s="134"/>
      <c r="C40" s="134"/>
      <c r="D40" s="130"/>
      <c r="E40" s="130"/>
      <c r="F40" s="5"/>
      <c r="G40" s="5"/>
      <c r="H40" s="5"/>
      <c r="I40" s="5"/>
      <c r="J40" s="5"/>
      <c r="K40" s="5"/>
    </row>
    <row r="41" spans="1:11" ht="15.75" x14ac:dyDescent="0.25">
      <c r="A41" s="130"/>
      <c r="B41" s="130"/>
      <c r="C41" s="130"/>
      <c r="D41" s="132"/>
      <c r="E41" s="132"/>
      <c r="F41" s="5"/>
      <c r="G41" s="5"/>
      <c r="H41" s="5"/>
      <c r="I41" s="5"/>
      <c r="J41" s="5"/>
      <c r="K41" s="5"/>
    </row>
    <row r="42" spans="1:11" ht="15.75" x14ac:dyDescent="0.25">
      <c r="A42" s="131"/>
      <c r="B42" s="131"/>
      <c r="C42" s="131"/>
      <c r="D42" s="132"/>
      <c r="E42" s="132"/>
      <c r="F42" s="5"/>
      <c r="G42" s="5"/>
      <c r="H42" s="5"/>
      <c r="I42" s="5"/>
      <c r="J42" s="5"/>
      <c r="K42" s="5"/>
    </row>
    <row r="43" spans="1:11" ht="15.75" x14ac:dyDescent="0.25">
      <c r="A43" s="131"/>
      <c r="B43" s="131"/>
      <c r="C43" s="131"/>
      <c r="D43" s="132"/>
      <c r="E43" s="132"/>
      <c r="F43" s="5"/>
      <c r="G43" s="5"/>
      <c r="H43" s="5"/>
      <c r="I43" s="5"/>
      <c r="J43" s="5"/>
      <c r="K43" s="5"/>
    </row>
    <row r="44" spans="1:11" ht="15.75" x14ac:dyDescent="0.25">
      <c r="A44" s="131"/>
      <c r="B44" s="131"/>
      <c r="C44" s="131"/>
      <c r="D44" s="132"/>
      <c r="E44" s="132"/>
      <c r="F44" s="5"/>
      <c r="G44" s="5"/>
      <c r="H44" s="5"/>
      <c r="I44" s="5"/>
      <c r="J44" s="5"/>
      <c r="K44" s="5"/>
    </row>
    <row r="45" spans="1:11" ht="15.75" x14ac:dyDescent="0.25">
      <c r="A45" s="133"/>
      <c r="B45" s="134"/>
      <c r="C45" s="134"/>
      <c r="D45" s="130"/>
      <c r="E45" s="130"/>
      <c r="F45" s="5"/>
      <c r="G45" s="5"/>
      <c r="H45" s="5"/>
      <c r="I45" s="5"/>
      <c r="J45" s="5"/>
      <c r="K45" s="5"/>
    </row>
    <row r="46" spans="1:11" ht="15.75" x14ac:dyDescent="0.25">
      <c r="A46" s="130"/>
      <c r="B46" s="130"/>
      <c r="C46" s="130"/>
      <c r="D46" s="132"/>
      <c r="E46" s="132"/>
      <c r="F46" s="5"/>
      <c r="G46" s="5"/>
      <c r="H46" s="5"/>
      <c r="I46" s="5"/>
      <c r="J46" s="5"/>
      <c r="K46" s="5"/>
    </row>
    <row r="47" spans="1:11" ht="15.75" x14ac:dyDescent="0.25">
      <c r="A47" s="131"/>
      <c r="B47" s="131"/>
      <c r="C47" s="131"/>
      <c r="D47" s="132"/>
      <c r="E47" s="132"/>
      <c r="F47" s="5"/>
      <c r="G47" s="5"/>
      <c r="H47" s="5"/>
      <c r="I47" s="5"/>
      <c r="J47" s="5"/>
      <c r="K47" s="5"/>
    </row>
    <row r="48" spans="1:11" ht="15.75" x14ac:dyDescent="0.25">
      <c r="A48" s="131"/>
      <c r="B48" s="131"/>
      <c r="C48" s="131"/>
      <c r="D48" s="132"/>
      <c r="E48" s="132"/>
      <c r="F48" s="5"/>
      <c r="G48" s="5"/>
      <c r="H48" s="5"/>
      <c r="I48" s="5"/>
      <c r="J48" s="5"/>
      <c r="K48" s="5"/>
    </row>
    <row r="49" spans="1:16" ht="15.7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6" ht="15.7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6" ht="15.7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6" ht="15.75" x14ac:dyDescent="0.25">
      <c r="A52" s="6"/>
      <c r="B52" s="6"/>
      <c r="C52" s="6"/>
      <c r="D52" s="5"/>
      <c r="E52" s="5"/>
      <c r="F52" s="5"/>
      <c r="G52" s="5"/>
      <c r="H52" s="5"/>
      <c r="I52" s="5"/>
      <c r="J52" s="5"/>
      <c r="K52" s="5"/>
    </row>
    <row r="53" spans="1:16" ht="15.7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6" ht="15.7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6" ht="15.7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6" ht="15.7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6" ht="15.7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6" ht="15.7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6" ht="15.7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6" s="25" customFormat="1" ht="33" customHeight="1" x14ac:dyDescent="0.25">
      <c r="A60" s="430" t="s">
        <v>358</v>
      </c>
      <c r="B60" s="247"/>
      <c r="C60" s="247"/>
      <c r="D60" s="247"/>
      <c r="E60" s="247"/>
      <c r="F60" s="247"/>
      <c r="G60" s="248"/>
      <c r="H60" s="185"/>
      <c r="I60" s="185"/>
    </row>
    <row r="61" spans="1:16" s="25" customFormat="1" x14ac:dyDescent="0.2">
      <c r="A61" s="186"/>
      <c r="B61" s="187"/>
      <c r="C61" s="187"/>
      <c r="D61" s="187"/>
      <c r="E61" s="187"/>
      <c r="F61" s="187"/>
      <c r="G61" s="188"/>
    </row>
    <row r="62" spans="1:16" s="25" customFormat="1" x14ac:dyDescent="0.2"/>
    <row r="63" spans="1:16" s="25" customFormat="1" ht="15.75" x14ac:dyDescent="0.25">
      <c r="A63" s="431" t="s">
        <v>347</v>
      </c>
      <c r="B63" s="432"/>
      <c r="C63" s="432"/>
      <c r="D63" s="433"/>
      <c r="E63" s="160" t="s">
        <v>343</v>
      </c>
      <c r="F63" s="160" t="s">
        <v>345</v>
      </c>
      <c r="G63" s="160" t="s">
        <v>346</v>
      </c>
      <c r="H63" s="161" t="s">
        <v>363</v>
      </c>
      <c r="I63" s="161" t="s">
        <v>360</v>
      </c>
      <c r="K63" s="434"/>
      <c r="L63" s="435"/>
      <c r="M63" s="436"/>
      <c r="N63" s="196"/>
      <c r="O63" s="437"/>
      <c r="P63" s="438"/>
    </row>
    <row r="64" spans="1:16" s="25" customFormat="1" ht="15.75" x14ac:dyDescent="0.25">
      <c r="A64" s="439" t="s">
        <v>339</v>
      </c>
      <c r="B64" s="440"/>
      <c r="C64" s="440"/>
      <c r="D64" s="441"/>
      <c r="E64" s="159" t="s">
        <v>344</v>
      </c>
      <c r="F64" s="190">
        <f>Sheet4!F80</f>
        <v>0.49773755656108598</v>
      </c>
      <c r="G64" s="179" t="s">
        <v>348</v>
      </c>
      <c r="H64" s="179" t="s">
        <v>349</v>
      </c>
      <c r="I64" s="179" t="s">
        <v>350</v>
      </c>
      <c r="K64" s="442"/>
      <c r="L64" s="443"/>
      <c r="M64" s="444"/>
      <c r="O64" s="445"/>
      <c r="P64" s="445"/>
    </row>
    <row r="65" spans="1:16" s="25" customFormat="1" ht="15.75" x14ac:dyDescent="0.25">
      <c r="A65" s="446" t="s">
        <v>340</v>
      </c>
      <c r="B65" s="447"/>
      <c r="C65" s="447"/>
      <c r="D65" s="448"/>
      <c r="E65" s="159" t="s">
        <v>161</v>
      </c>
      <c r="F65" s="190">
        <f>Sheet4!F81</f>
        <v>0.48979591836734693</v>
      </c>
      <c r="G65" s="179" t="s">
        <v>351</v>
      </c>
      <c r="H65" s="179" t="s">
        <v>352</v>
      </c>
      <c r="I65" s="179" t="s">
        <v>353</v>
      </c>
      <c r="K65" s="442" t="str">
        <f>Sheet4!I90</f>
        <v>Normal</v>
      </c>
      <c r="L65" s="443"/>
      <c r="M65" s="444"/>
      <c r="O65" s="445"/>
      <c r="P65" s="445"/>
    </row>
    <row r="66" spans="1:16" ht="15.75" x14ac:dyDescent="0.25">
      <c r="A66" s="449" t="s">
        <v>341</v>
      </c>
      <c r="B66" s="447"/>
      <c r="C66" s="447"/>
      <c r="D66" s="448"/>
      <c r="E66" s="166" t="s">
        <v>162</v>
      </c>
      <c r="F66" s="190">
        <f>Sheet4!F82</f>
        <v>0.96</v>
      </c>
      <c r="G66" s="179" t="s">
        <v>353</v>
      </c>
      <c r="H66" s="179" t="s">
        <v>354</v>
      </c>
      <c r="I66" s="179" t="s">
        <v>355</v>
      </c>
      <c r="J66" s="25"/>
      <c r="K66" s="442"/>
      <c r="L66" s="443"/>
      <c r="M66" s="444"/>
      <c r="N66" s="25"/>
      <c r="O66" s="445"/>
      <c r="P66" s="445"/>
    </row>
    <row r="67" spans="1:16" ht="15.75" x14ac:dyDescent="0.25">
      <c r="A67" s="449" t="s">
        <v>342</v>
      </c>
      <c r="B67" s="447"/>
      <c r="C67" s="447"/>
      <c r="D67" s="448"/>
      <c r="E67" s="166" t="s">
        <v>163</v>
      </c>
      <c r="F67" s="190">
        <f>Sheet4!F83</f>
        <v>0.5</v>
      </c>
      <c r="G67" s="179" t="s">
        <v>356</v>
      </c>
      <c r="H67" s="179" t="s">
        <v>355</v>
      </c>
      <c r="I67" s="179" t="s">
        <v>357</v>
      </c>
      <c r="J67" s="25"/>
      <c r="K67" s="450"/>
      <c r="L67" s="451"/>
      <c r="M67" s="452"/>
      <c r="N67" s="25"/>
      <c r="O67" s="445"/>
      <c r="P67" s="445"/>
    </row>
    <row r="70" spans="1:16" s="25" customFormat="1" ht="33" customHeight="1" x14ac:dyDescent="0.25">
      <c r="A70" s="430" t="s">
        <v>374</v>
      </c>
      <c r="B70" s="247"/>
      <c r="C70" s="247"/>
      <c r="D70" s="247"/>
      <c r="E70" s="247"/>
      <c r="F70" s="247"/>
      <c r="G70" s="248"/>
      <c r="H70" s="185"/>
      <c r="I70" s="185"/>
    </row>
    <row r="71" spans="1:16" s="25" customFormat="1" x14ac:dyDescent="0.2">
      <c r="A71" s="186"/>
      <c r="B71" s="187"/>
      <c r="C71" s="187"/>
      <c r="D71" s="187"/>
      <c r="E71" s="187"/>
      <c r="F71" s="187"/>
      <c r="G71" s="188"/>
    </row>
    <row r="72" spans="1:16" s="25" customFormat="1" x14ac:dyDescent="0.2"/>
    <row r="73" spans="1:16" s="25" customFormat="1" ht="15.75" x14ac:dyDescent="0.25">
      <c r="A73" s="431" t="s">
        <v>347</v>
      </c>
      <c r="B73" s="432"/>
      <c r="C73" s="432"/>
      <c r="D73" s="433"/>
      <c r="E73" s="160" t="s">
        <v>343</v>
      </c>
      <c r="F73" s="160" t="s">
        <v>345</v>
      </c>
      <c r="G73" s="160" t="s">
        <v>95</v>
      </c>
      <c r="H73" s="161" t="s">
        <v>363</v>
      </c>
      <c r="I73" s="161" t="s">
        <v>360</v>
      </c>
      <c r="K73" s="453"/>
      <c r="L73" s="454"/>
      <c r="M73" s="455"/>
      <c r="N73" s="196"/>
      <c r="O73" s="437"/>
      <c r="P73" s="438"/>
    </row>
    <row r="74" spans="1:16" s="25" customFormat="1" ht="15.75" x14ac:dyDescent="0.25">
      <c r="A74" s="439" t="s">
        <v>365</v>
      </c>
      <c r="B74" s="440"/>
      <c r="C74" s="440"/>
      <c r="D74" s="441"/>
      <c r="E74" s="159" t="s">
        <v>368</v>
      </c>
      <c r="F74" s="190">
        <f>Sheet4!F100</f>
        <v>0.3436426116838488</v>
      </c>
      <c r="G74" s="197" t="s">
        <v>231</v>
      </c>
      <c r="H74" s="197" t="s">
        <v>234</v>
      </c>
      <c r="I74" s="197" t="s">
        <v>237</v>
      </c>
      <c r="K74" s="456"/>
      <c r="L74" s="457"/>
      <c r="M74" s="458"/>
      <c r="O74" s="445"/>
      <c r="P74" s="445"/>
    </row>
    <row r="75" spans="1:16" s="25" customFormat="1" ht="15.75" x14ac:dyDescent="0.25">
      <c r="A75" s="446" t="s">
        <v>372</v>
      </c>
      <c r="B75" s="447"/>
      <c r="C75" s="447"/>
      <c r="D75" s="448"/>
      <c r="E75" s="159" t="s">
        <v>369</v>
      </c>
      <c r="F75" s="190">
        <f>Sheet4!F101</f>
        <v>0.72164948453608246</v>
      </c>
      <c r="G75" s="197" t="s">
        <v>232</v>
      </c>
      <c r="H75" s="197" t="s">
        <v>235</v>
      </c>
      <c r="I75" s="197" t="s">
        <v>235</v>
      </c>
      <c r="K75" s="456" t="str">
        <f>Sheet4!M110</f>
        <v>Normal</v>
      </c>
      <c r="L75" s="457"/>
      <c r="M75" s="458"/>
      <c r="O75" s="445"/>
      <c r="P75" s="445"/>
    </row>
    <row r="76" spans="1:16" ht="15.75" x14ac:dyDescent="0.25">
      <c r="A76" s="449" t="s">
        <v>366</v>
      </c>
      <c r="B76" s="447"/>
      <c r="C76" s="447"/>
      <c r="D76" s="448"/>
      <c r="E76" s="166" t="s">
        <v>370</v>
      </c>
      <c r="F76" s="190">
        <f>Sheet4!F102</f>
        <v>-0.3010299956639812</v>
      </c>
      <c r="G76" s="197" t="s">
        <v>233</v>
      </c>
      <c r="H76" s="197" t="s">
        <v>236</v>
      </c>
      <c r="I76" s="197" t="s">
        <v>238</v>
      </c>
      <c r="J76" s="25"/>
      <c r="K76" s="456"/>
      <c r="L76" s="457"/>
      <c r="M76" s="458"/>
      <c r="N76" s="25"/>
      <c r="O76" s="445"/>
      <c r="P76" s="445"/>
    </row>
    <row r="77" spans="1:16" ht="15.75" x14ac:dyDescent="0.25">
      <c r="A77" s="449" t="s">
        <v>367</v>
      </c>
      <c r="B77" s="447"/>
      <c r="C77" s="447"/>
      <c r="D77" s="448"/>
      <c r="E77" s="166" t="s">
        <v>371</v>
      </c>
      <c r="F77" s="190">
        <f>Sheet4!F103</f>
        <v>-0.18045606445813131</v>
      </c>
      <c r="G77" s="197" t="s">
        <v>233</v>
      </c>
      <c r="H77" s="197" t="s">
        <v>236</v>
      </c>
      <c r="I77" s="197" t="s">
        <v>238</v>
      </c>
      <c r="J77" s="25"/>
      <c r="K77" s="459"/>
      <c r="L77" s="460"/>
      <c r="M77" s="461"/>
      <c r="N77" s="25"/>
      <c r="O77" s="445"/>
      <c r="P77" s="445"/>
    </row>
  </sheetData>
  <sheetProtection password="DDCC" sheet="1"/>
  <protectedRanges>
    <protectedRange sqref="C3:C6 A10:E10 D26" name="Range1"/>
  </protectedRanges>
  <mergeCells count="65">
    <mergeCell ref="O73:P73"/>
    <mergeCell ref="A74:D74"/>
    <mergeCell ref="K74:M74"/>
    <mergeCell ref="O74:P77"/>
    <mergeCell ref="A75:D75"/>
    <mergeCell ref="K75:M75"/>
    <mergeCell ref="A76:D76"/>
    <mergeCell ref="K76:M76"/>
    <mergeCell ref="A77:D77"/>
    <mergeCell ref="K77:M77"/>
    <mergeCell ref="K66:M66"/>
    <mergeCell ref="A67:D67"/>
    <mergeCell ref="K67:M67"/>
    <mergeCell ref="A70:G70"/>
    <mergeCell ref="A73:D73"/>
    <mergeCell ref="K73:M73"/>
    <mergeCell ref="A60:G60"/>
    <mergeCell ref="A63:D63"/>
    <mergeCell ref="K63:M63"/>
    <mergeCell ref="O63:P63"/>
    <mergeCell ref="A64:D64"/>
    <mergeCell ref="K64:M64"/>
    <mergeCell ref="O64:P67"/>
    <mergeCell ref="A65:D65"/>
    <mergeCell ref="K65:M65"/>
    <mergeCell ref="A66:D66"/>
    <mergeCell ref="A3:B3"/>
    <mergeCell ref="C3:H3"/>
    <mergeCell ref="A4:B4"/>
    <mergeCell ref="C4:H4"/>
    <mergeCell ref="A5:B5"/>
    <mergeCell ref="C5:H5"/>
    <mergeCell ref="A6:B6"/>
    <mergeCell ref="C6:H6"/>
    <mergeCell ref="A8:E8"/>
    <mergeCell ref="A11:H11"/>
    <mergeCell ref="A13:I13"/>
    <mergeCell ref="F14:I14"/>
    <mergeCell ref="F15:I15"/>
    <mergeCell ref="F16:I16"/>
    <mergeCell ref="F17:I17"/>
    <mergeCell ref="A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6:C26"/>
    <mergeCell ref="D26:I26"/>
    <mergeCell ref="A28:D28"/>
    <mergeCell ref="F29:K29"/>
    <mergeCell ref="G34:K34"/>
    <mergeCell ref="G35:K35"/>
    <mergeCell ref="G36:K36"/>
    <mergeCell ref="G30:K30"/>
    <mergeCell ref="G31:K31"/>
    <mergeCell ref="G32:K32"/>
    <mergeCell ref="G33:K33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13"/>
  <sheetViews>
    <sheetView topLeftCell="A75" workbookViewId="0">
      <selection activeCell="H91" sqref="H91"/>
    </sheetView>
  </sheetViews>
  <sheetFormatPr defaultRowHeight="12.75" x14ac:dyDescent="0.2"/>
  <cols>
    <col min="3" max="3" width="16.5703125" customWidth="1"/>
    <col min="7" max="7" width="17.140625" customWidth="1"/>
    <col min="8" max="8" width="15.28515625" customWidth="1"/>
    <col min="9" max="9" width="14" customWidth="1"/>
  </cols>
  <sheetData>
    <row r="1" spans="1:16" s="25" customFormat="1" ht="12.75" customHeight="1" x14ac:dyDescent="0.25">
      <c r="A1" s="5"/>
      <c r="B1" s="5"/>
      <c r="C1" s="5"/>
      <c r="D1" s="5"/>
      <c r="E1" s="5"/>
      <c r="F1" s="5"/>
      <c r="G1" s="5"/>
      <c r="L1" s="191"/>
      <c r="M1" s="191"/>
    </row>
    <row r="2" spans="1:16" s="25" customFormat="1" ht="12.75" customHeight="1" x14ac:dyDescent="0.25">
      <c r="A2" s="5"/>
      <c r="B2" s="5"/>
      <c r="C2" s="5"/>
      <c r="D2" s="5"/>
      <c r="E2" s="5"/>
      <c r="F2" s="5"/>
      <c r="G2" s="5"/>
    </row>
    <row r="3" spans="1:16" s="25" customFormat="1" ht="18" x14ac:dyDescent="0.25">
      <c r="A3" s="5" t="s">
        <v>170</v>
      </c>
      <c r="B3" s="5"/>
      <c r="C3" s="5"/>
      <c r="D3" s="5" t="s">
        <v>44</v>
      </c>
      <c r="E3" s="5">
        <f>J4+J3/2</f>
        <v>0.3611111111111111</v>
      </c>
      <c r="F3" s="5">
        <f>J3*0.866025</f>
        <v>0.14433750000000001</v>
      </c>
      <c r="G3" s="5"/>
      <c r="I3" s="104" t="s">
        <v>26</v>
      </c>
      <c r="J3" s="111">
        <f>B31/G31</f>
        <v>0.16666666666666666</v>
      </c>
      <c r="L3" s="149"/>
      <c r="M3" s="149"/>
      <c r="N3" s="149"/>
      <c r="O3" s="150"/>
      <c r="P3" s="150"/>
    </row>
    <row r="4" spans="1:16" s="135" customFormat="1" ht="18" x14ac:dyDescent="0.25">
      <c r="A4" s="5">
        <v>0</v>
      </c>
      <c r="B4" s="5">
        <v>0</v>
      </c>
      <c r="C4" s="5"/>
      <c r="D4" s="5"/>
      <c r="E4" s="5"/>
      <c r="F4" s="5"/>
      <c r="G4" s="5"/>
      <c r="I4" s="104" t="s">
        <v>27</v>
      </c>
      <c r="J4" s="111">
        <f>C31/G31</f>
        <v>0.27777777777777779</v>
      </c>
      <c r="L4" s="149"/>
      <c r="M4" s="149"/>
      <c r="N4" s="149"/>
      <c r="O4" s="150"/>
      <c r="P4" s="150"/>
    </row>
    <row r="5" spans="1:16" s="135" customFormat="1" ht="18" x14ac:dyDescent="0.25">
      <c r="A5" s="5">
        <v>1</v>
      </c>
      <c r="B5" s="5">
        <v>0</v>
      </c>
      <c r="C5" s="5"/>
      <c r="D5" s="5"/>
      <c r="E5" s="5"/>
      <c r="F5" s="5"/>
      <c r="G5" s="5"/>
      <c r="I5" s="104" t="s">
        <v>28</v>
      </c>
      <c r="J5" s="111">
        <f>E31/G31</f>
        <v>0.55555555555555558</v>
      </c>
      <c r="L5" s="149"/>
      <c r="M5" s="149"/>
      <c r="N5" s="149"/>
      <c r="O5" s="150"/>
      <c r="P5" s="150"/>
    </row>
    <row r="6" spans="1:16" s="135" customFormat="1" ht="18" x14ac:dyDescent="0.25">
      <c r="A6" s="5">
        <v>0.5</v>
      </c>
      <c r="B6" s="5">
        <v>0.86602500000000004</v>
      </c>
      <c r="C6" s="5"/>
      <c r="D6" s="5"/>
      <c r="E6" s="5"/>
      <c r="F6" s="5"/>
      <c r="G6" s="5"/>
      <c r="H6" s="136"/>
      <c r="L6" s="149"/>
      <c r="M6" s="149"/>
      <c r="N6" s="149"/>
      <c r="O6" s="150"/>
      <c r="P6" s="150"/>
    </row>
    <row r="7" spans="1:16" s="135" customFormat="1" ht="18" x14ac:dyDescent="0.25">
      <c r="A7" s="5">
        <v>0</v>
      </c>
      <c r="B7" s="5">
        <v>0</v>
      </c>
      <c r="C7" s="5"/>
      <c r="D7" s="5"/>
      <c r="E7" s="5"/>
      <c r="F7" s="5"/>
      <c r="G7" s="5"/>
      <c r="I7" s="135">
        <v>1</v>
      </c>
      <c r="J7" s="135" t="str">
        <f>IF(AND(J3&gt;=0.02,J3&lt;=0.19,J4&gt;=0.06,J4&lt;=0.23,J5&gt;=0.58,J5&lt;=0.92),"N","")</f>
        <v/>
      </c>
      <c r="L7" s="149"/>
      <c r="M7" s="149"/>
      <c r="N7" s="149"/>
      <c r="O7" s="150"/>
      <c r="P7" s="150"/>
    </row>
    <row r="8" spans="1:16" s="135" customFormat="1" ht="18" x14ac:dyDescent="0.25">
      <c r="A8" s="5"/>
      <c r="B8" s="5"/>
      <c r="C8" s="5"/>
      <c r="D8" s="5"/>
      <c r="E8" s="5"/>
      <c r="F8" s="5"/>
      <c r="G8" s="5"/>
      <c r="I8" s="135">
        <v>2</v>
      </c>
      <c r="J8" s="135" t="str">
        <f>IF(OR(AND(J3&lt;=0.02,J5&gt;=0.81),AND(J3&gt;=0.02,J3&lt;=0.19,J4&lt;=0.06)),"D1","")</f>
        <v/>
      </c>
      <c r="L8" s="149"/>
      <c r="M8" s="149"/>
      <c r="N8" s="149"/>
      <c r="O8" s="150"/>
      <c r="P8" s="150"/>
    </row>
    <row r="9" spans="1:16" s="135" customFormat="1" ht="12.75" customHeight="1" x14ac:dyDescent="0.25">
      <c r="A9" s="5" t="s">
        <v>46</v>
      </c>
      <c r="B9" s="5">
        <v>0.23</v>
      </c>
      <c r="C9" s="5">
        <v>0</v>
      </c>
      <c r="D9" s="5"/>
      <c r="E9" s="5" t="s">
        <v>48</v>
      </c>
      <c r="F9" s="5">
        <v>7.0000000000000007E-2</v>
      </c>
      <c r="G9" s="5">
        <v>1.7299999999999999E-2</v>
      </c>
      <c r="I9" s="135">
        <v>3</v>
      </c>
      <c r="J9" s="135" t="str">
        <f>IF(AND(J3&gt;0.19,J4&lt;=0.23),"X1","")</f>
        <v/>
      </c>
      <c r="L9" s="149"/>
      <c r="M9" s="149"/>
      <c r="N9" s="149"/>
      <c r="O9" s="150"/>
      <c r="P9" s="150"/>
    </row>
    <row r="10" spans="1:16" s="135" customFormat="1" ht="12.75" customHeight="1" x14ac:dyDescent="0.25">
      <c r="A10" s="5"/>
      <c r="B10" s="5">
        <v>0.61499999999999999</v>
      </c>
      <c r="C10" s="5">
        <v>0.66700000000000004</v>
      </c>
      <c r="D10" s="5"/>
      <c r="E10" s="5"/>
      <c r="F10" s="5">
        <v>0.24</v>
      </c>
      <c r="G10" s="5">
        <v>1.7299999999999999E-2</v>
      </c>
      <c r="I10" s="135">
        <v>4</v>
      </c>
      <c r="J10" s="135" t="str">
        <f>IF(AND(J4&gt;0.23,J4&lt;0.85,J5&gt;0.15,J5&lt;0.77),"X3","")</f>
        <v>X3</v>
      </c>
      <c r="L10" s="149"/>
      <c r="M10" s="149"/>
      <c r="N10" s="149"/>
      <c r="O10" s="150"/>
      <c r="P10" s="150"/>
    </row>
    <row r="11" spans="1:16" s="25" customFormat="1" ht="12.75" hidden="1" customHeight="1" x14ac:dyDescent="0.25">
      <c r="A11" s="5"/>
      <c r="B11" s="5"/>
      <c r="C11" s="5"/>
      <c r="D11" s="5"/>
      <c r="E11" s="5"/>
      <c r="F11" s="5"/>
      <c r="G11" s="5"/>
      <c r="L11" s="149"/>
      <c r="M11" s="149"/>
      <c r="N11" s="149"/>
      <c r="O11" s="150"/>
      <c r="P11" s="150"/>
    </row>
    <row r="12" spans="1:16" s="25" customFormat="1" ht="12.75" hidden="1" customHeight="1" x14ac:dyDescent="0.25">
      <c r="A12" s="5" t="s">
        <v>47</v>
      </c>
      <c r="B12" s="5">
        <v>7.0000000000000007E-2</v>
      </c>
      <c r="C12" s="5">
        <v>1.7000000000000001E-2</v>
      </c>
      <c r="D12" s="5"/>
      <c r="E12" s="5" t="s">
        <v>49</v>
      </c>
      <c r="F12" s="5">
        <v>9.5000000000000001E-2</v>
      </c>
      <c r="G12" s="5">
        <v>0.1615</v>
      </c>
      <c r="L12" s="149"/>
      <c r="M12" s="149"/>
      <c r="N12" s="149"/>
      <c r="O12" s="150"/>
      <c r="P12" s="150"/>
    </row>
    <row r="13" spans="1:16" s="25" customFormat="1" ht="12.75" hidden="1" customHeight="1" x14ac:dyDescent="0.25">
      <c r="A13" s="5"/>
      <c r="B13" s="5">
        <v>0.155</v>
      </c>
      <c r="C13" s="5">
        <v>0.1615</v>
      </c>
      <c r="D13" s="5"/>
      <c r="E13" s="5"/>
      <c r="F13" s="5">
        <v>0.32500000000000001</v>
      </c>
      <c r="G13" s="5">
        <v>0.1615</v>
      </c>
      <c r="L13" s="149"/>
      <c r="M13" s="149"/>
      <c r="N13" s="149"/>
      <c r="O13" s="150"/>
      <c r="P13" s="150"/>
    </row>
    <row r="14" spans="1:16" s="25" customFormat="1" ht="12.75" hidden="1" customHeight="1" x14ac:dyDescent="0.25">
      <c r="A14" s="5"/>
      <c r="B14" s="5"/>
      <c r="C14" s="5"/>
      <c r="D14" s="5"/>
      <c r="E14" s="5"/>
      <c r="F14" s="5"/>
      <c r="G14" s="5"/>
      <c r="L14" s="149"/>
      <c r="M14" s="149"/>
      <c r="N14" s="149"/>
      <c r="O14" s="150"/>
      <c r="P14" s="150"/>
    </row>
    <row r="15" spans="1:16" s="25" customFormat="1" ht="12.75" hidden="1" customHeight="1" x14ac:dyDescent="0.25">
      <c r="A15" s="5" t="s">
        <v>53</v>
      </c>
      <c r="B15" s="5">
        <v>0.67500000000000004</v>
      </c>
      <c r="C15" s="5">
        <v>0.30299999999999999</v>
      </c>
      <c r="D15" s="5"/>
      <c r="E15" s="5" t="s">
        <v>50</v>
      </c>
      <c r="F15" s="5">
        <v>0.85</v>
      </c>
      <c r="G15" s="5">
        <v>0</v>
      </c>
      <c r="L15" s="149"/>
      <c r="M15" s="149"/>
      <c r="N15" s="149"/>
      <c r="O15" s="150"/>
      <c r="P15" s="150"/>
    </row>
    <row r="16" spans="1:16" s="25" customFormat="1" ht="12.75" hidden="1" customHeight="1" x14ac:dyDescent="0.25">
      <c r="A16" s="5"/>
      <c r="B16" s="5">
        <v>0.75</v>
      </c>
      <c r="C16" s="5">
        <v>0.433</v>
      </c>
      <c r="D16" s="5"/>
      <c r="E16" s="5"/>
      <c r="F16" s="5">
        <v>0.54</v>
      </c>
      <c r="G16" s="5">
        <v>0.53700000000000003</v>
      </c>
      <c r="L16" s="149"/>
      <c r="M16" s="149"/>
      <c r="N16" s="149"/>
      <c r="O16" s="150"/>
      <c r="P16" s="150"/>
    </row>
    <row r="17" spans="1:16" s="25" customFormat="1" ht="12.75" hidden="1" customHeight="1" x14ac:dyDescent="0.25">
      <c r="A17" s="27"/>
      <c r="B17" s="27"/>
      <c r="C17" s="27"/>
      <c r="D17" s="27"/>
      <c r="E17" s="27"/>
      <c r="F17" s="27"/>
      <c r="G17" s="27"/>
      <c r="L17" s="149"/>
      <c r="M17" s="149"/>
      <c r="N17" s="149"/>
      <c r="O17" s="150"/>
      <c r="P17" s="150"/>
    </row>
    <row r="18" spans="1:16" s="25" customFormat="1" ht="12.75" hidden="1" customHeight="1" x14ac:dyDescent="0.25">
      <c r="A18" s="27"/>
      <c r="B18" s="27"/>
      <c r="C18" s="27"/>
      <c r="D18" s="27"/>
      <c r="E18" s="27"/>
      <c r="F18" s="27"/>
      <c r="G18" s="27"/>
      <c r="L18" s="149"/>
      <c r="M18" s="149"/>
      <c r="N18" s="149"/>
      <c r="O18" s="150"/>
      <c r="P18" s="150"/>
    </row>
    <row r="19" spans="1:16" s="25" customFormat="1" ht="12.75" hidden="1" customHeight="1" x14ac:dyDescent="0.25">
      <c r="A19" s="27"/>
      <c r="B19" s="27"/>
      <c r="C19" s="27"/>
      <c r="D19" s="27"/>
      <c r="E19" s="27"/>
      <c r="F19" s="27"/>
      <c r="G19" s="27"/>
      <c r="L19" s="149"/>
      <c r="M19" s="149"/>
      <c r="N19" s="149"/>
      <c r="O19" s="150"/>
      <c r="P19" s="150"/>
    </row>
    <row r="20" spans="1:16" s="25" customFormat="1" ht="12.75" hidden="1" customHeight="1" x14ac:dyDescent="0.25">
      <c r="A20" s="27"/>
      <c r="B20" s="27"/>
      <c r="C20" s="27"/>
      <c r="D20" s="27"/>
      <c r="E20" s="27"/>
      <c r="F20" s="27"/>
      <c r="G20" s="27"/>
      <c r="L20" s="149"/>
      <c r="M20" s="149"/>
      <c r="N20" s="149"/>
      <c r="O20" s="150"/>
      <c r="P20" s="150"/>
    </row>
    <row r="21" spans="1:16" s="25" customFormat="1" ht="12.75" customHeight="1" x14ac:dyDescent="0.25">
      <c r="A21" s="27"/>
      <c r="B21" s="27"/>
      <c r="C21" s="27"/>
      <c r="D21" s="27"/>
      <c r="E21" s="27"/>
      <c r="F21" s="27"/>
      <c r="G21" s="27"/>
      <c r="I21" s="25">
        <v>5</v>
      </c>
      <c r="J21" s="25" t="str">
        <f>IF(AND(J4&lt;0.23,J4&gt;0.5,J5&lt;=0.15),"T2","")</f>
        <v/>
      </c>
      <c r="L21" s="149"/>
      <c r="M21" s="149"/>
      <c r="N21" s="149"/>
      <c r="O21" s="150"/>
      <c r="P21" s="150"/>
    </row>
    <row r="22" spans="1:16" s="25" customFormat="1" ht="12.75" customHeight="1" x14ac:dyDescent="0.25">
      <c r="A22" s="5" t="s">
        <v>47</v>
      </c>
      <c r="B22" s="5">
        <v>7.0000000000000007E-2</v>
      </c>
      <c r="C22" s="5">
        <v>1.7000000000000001E-2</v>
      </c>
      <c r="D22" s="5"/>
      <c r="E22" s="5" t="s">
        <v>49</v>
      </c>
      <c r="F22" s="5">
        <v>9.5000000000000001E-2</v>
      </c>
      <c r="G22" s="5">
        <v>0.1615</v>
      </c>
      <c r="I22" s="25">
        <v>6</v>
      </c>
      <c r="J22" s="25" t="str">
        <f>IF(AND(J4&gt;=0.5,J5&lt;=0.15),"T3","")</f>
        <v/>
      </c>
      <c r="L22" s="149"/>
      <c r="M22" s="149"/>
      <c r="N22" s="149"/>
      <c r="O22" s="150"/>
      <c r="P22" s="150"/>
    </row>
    <row r="23" spans="1:16" s="25" customFormat="1" ht="12.75" customHeight="1" x14ac:dyDescent="0.25">
      <c r="A23" s="5"/>
      <c r="B23" s="5">
        <v>0.155</v>
      </c>
      <c r="C23" s="5">
        <v>0.1615</v>
      </c>
      <c r="D23" s="5"/>
      <c r="E23" s="5"/>
      <c r="F23" s="5">
        <v>0.32500000000000001</v>
      </c>
      <c r="G23" s="5">
        <v>0.1615</v>
      </c>
      <c r="L23" s="149"/>
      <c r="M23" s="149"/>
      <c r="N23" s="149"/>
      <c r="O23" s="150"/>
      <c r="P23" s="150"/>
    </row>
    <row r="24" spans="1:16" s="25" customFormat="1" ht="12.75" customHeight="1" x14ac:dyDescent="0.25">
      <c r="A24" s="5"/>
      <c r="B24" s="5"/>
      <c r="C24" s="5"/>
      <c r="D24" s="5"/>
      <c r="E24" s="5"/>
      <c r="F24" s="5"/>
      <c r="G24" s="5"/>
      <c r="J24" s="124" t="str">
        <f t="array" ref="J24">INDEX(KETQUA5,MATCH(MAX(LEN(KETQUA5)),LEN(KETQUA5),FALSE),1)</f>
        <v>X3</v>
      </c>
      <c r="L24" s="149"/>
      <c r="M24" s="149"/>
      <c r="N24" s="149"/>
      <c r="O24" s="150"/>
      <c r="P24" s="150"/>
    </row>
    <row r="25" spans="1:16" s="25" customFormat="1" ht="12.75" customHeight="1" x14ac:dyDescent="0.25">
      <c r="A25" s="5" t="s">
        <v>53</v>
      </c>
      <c r="B25" s="5">
        <v>0.67500000000000004</v>
      </c>
      <c r="C25" s="5">
        <v>0.30299999999999999</v>
      </c>
      <c r="D25" s="5"/>
      <c r="E25" s="5" t="s">
        <v>50</v>
      </c>
      <c r="F25" s="5">
        <v>0.85</v>
      </c>
      <c r="G25" s="5">
        <v>0</v>
      </c>
      <c r="J25" s="5"/>
      <c r="L25" s="149"/>
      <c r="M25" s="149"/>
      <c r="N25" s="149"/>
      <c r="O25" s="150"/>
      <c r="P25" s="150"/>
    </row>
    <row r="26" spans="1:16" s="25" customFormat="1" ht="12.75" customHeight="1" x14ac:dyDescent="0.25">
      <c r="A26" s="5"/>
      <c r="B26" s="5">
        <v>0.75</v>
      </c>
      <c r="C26" s="5">
        <v>0.433</v>
      </c>
      <c r="D26" s="5"/>
      <c r="E26" s="5"/>
      <c r="F26" s="5">
        <v>0.54</v>
      </c>
      <c r="G26" s="5">
        <v>0.53700000000000003</v>
      </c>
      <c r="L26" s="149"/>
      <c r="M26" s="149"/>
      <c r="N26" s="149"/>
      <c r="O26" s="150"/>
      <c r="P26" s="150"/>
    </row>
    <row r="27" spans="1:16" s="25" customFormat="1" ht="12.75" customHeight="1" x14ac:dyDescent="0.25">
      <c r="A27" s="27"/>
      <c r="B27" s="27"/>
      <c r="C27" s="27"/>
      <c r="D27" s="27"/>
      <c r="E27" s="27"/>
      <c r="F27" s="27"/>
      <c r="G27" s="27"/>
      <c r="L27" s="149"/>
      <c r="M27" s="149"/>
      <c r="N27" s="149"/>
      <c r="O27" s="150"/>
      <c r="P27" s="150"/>
    </row>
    <row r="28" spans="1:16" s="25" customFormat="1" ht="12.75" customHeight="1" x14ac:dyDescent="0.25">
      <c r="A28" s="27"/>
      <c r="B28" s="27"/>
      <c r="C28" s="27"/>
      <c r="D28" s="27"/>
      <c r="E28" s="27"/>
      <c r="F28" s="27"/>
      <c r="G28" s="27"/>
      <c r="L28" s="149"/>
      <c r="M28" s="149"/>
      <c r="N28" s="149"/>
      <c r="O28" s="150"/>
      <c r="P28" s="150"/>
    </row>
    <row r="29" spans="1:16" s="25" customFormat="1" ht="12.75" customHeight="1" x14ac:dyDescent="0.25">
      <c r="A29" s="397" t="s">
        <v>171</v>
      </c>
      <c r="B29" s="397"/>
      <c r="C29" s="397"/>
      <c r="D29" s="397"/>
      <c r="E29" s="397"/>
      <c r="F29" s="27"/>
      <c r="G29" s="27"/>
      <c r="L29" s="149"/>
      <c r="M29" s="149"/>
      <c r="N29" s="149"/>
      <c r="O29" s="150"/>
      <c r="P29" s="150"/>
    </row>
    <row r="30" spans="1:16" s="25" customFormat="1" ht="12.75" customHeight="1" x14ac:dyDescent="0.25">
      <c r="A30" s="8" t="s">
        <v>2</v>
      </c>
      <c r="B30" s="8" t="s">
        <v>3</v>
      </c>
      <c r="C30" s="8" t="s">
        <v>4</v>
      </c>
      <c r="D30" s="8" t="s">
        <v>5</v>
      </c>
      <c r="E30" s="8" t="s">
        <v>6</v>
      </c>
      <c r="F30" s="27"/>
      <c r="G30" s="147" t="s">
        <v>25</v>
      </c>
      <c r="L30" s="149"/>
      <c r="M30" s="149"/>
      <c r="N30" s="149"/>
      <c r="O30" s="150"/>
      <c r="P30" s="150"/>
    </row>
    <row r="31" spans="1:16" s="25" customFormat="1" ht="12.75" customHeight="1" x14ac:dyDescent="0.25">
      <c r="A31" s="108">
        <f>OLTC!A10</f>
        <v>500</v>
      </c>
      <c r="B31" s="108">
        <f>OLTC!B10</f>
        <v>1500</v>
      </c>
      <c r="C31" s="108">
        <f>OLTC!C10</f>
        <v>2500</v>
      </c>
      <c r="D31" s="108">
        <f>OLTC!D10</f>
        <v>800</v>
      </c>
      <c r="E31" s="108">
        <f>OLTC!E10</f>
        <v>5000</v>
      </c>
      <c r="F31" s="27"/>
      <c r="G31" s="147">
        <f>B31+C31+E31</f>
        <v>9000</v>
      </c>
      <c r="L31" s="149"/>
      <c r="M31" s="149"/>
      <c r="N31" s="149"/>
      <c r="O31" s="150"/>
      <c r="P31" s="150"/>
    </row>
    <row r="32" spans="1:16" s="25" customFormat="1" ht="12.75" customHeight="1" x14ac:dyDescent="0.25">
      <c r="A32" s="27"/>
      <c r="B32" s="27"/>
      <c r="C32" s="27"/>
      <c r="D32" s="27"/>
      <c r="E32" s="27"/>
      <c r="F32" s="27"/>
      <c r="G32" s="27"/>
      <c r="L32" s="149"/>
      <c r="M32" s="149"/>
      <c r="N32" s="149"/>
      <c r="O32" s="150"/>
      <c r="P32" s="150"/>
    </row>
    <row r="33" spans="1:16" s="25" customFormat="1" ht="18" x14ac:dyDescent="0.25">
      <c r="A33" s="27"/>
      <c r="B33" s="27"/>
      <c r="C33" s="27"/>
      <c r="D33" s="27"/>
      <c r="E33" s="27"/>
      <c r="F33" s="27"/>
      <c r="G33" s="27"/>
      <c r="L33" s="149"/>
      <c r="M33" s="149"/>
      <c r="N33" s="149"/>
      <c r="O33" s="150"/>
      <c r="P33" s="150"/>
    </row>
    <row r="34" spans="1:16" s="5" customFormat="1" ht="18" x14ac:dyDescent="0.25">
      <c r="A34" s="415" t="s">
        <v>244</v>
      </c>
      <c r="B34" s="415"/>
      <c r="C34" s="415"/>
      <c r="D34" s="415"/>
      <c r="E34" s="137" t="s">
        <v>226</v>
      </c>
      <c r="F34" s="15"/>
      <c r="G34" s="121"/>
      <c r="H34" s="121"/>
      <c r="I34" s="122"/>
      <c r="J34" s="42"/>
      <c r="K34" s="42"/>
      <c r="L34" s="149"/>
      <c r="M34" s="149"/>
      <c r="N34" s="149"/>
      <c r="O34" s="150"/>
      <c r="P34" s="150"/>
    </row>
    <row r="35" spans="1:16" s="5" customFormat="1" ht="18" x14ac:dyDescent="0.25">
      <c r="L35" s="149"/>
      <c r="M35" s="149"/>
      <c r="N35" s="149"/>
      <c r="O35" s="150"/>
      <c r="P35" s="150"/>
    </row>
    <row r="36" spans="1:16" s="5" customFormat="1" ht="18" x14ac:dyDescent="0.25">
      <c r="A36" s="286" t="s">
        <v>201</v>
      </c>
      <c r="B36" s="287"/>
      <c r="C36" s="288"/>
      <c r="D36" s="8" t="s">
        <v>201</v>
      </c>
      <c r="E36" s="8" t="s">
        <v>206</v>
      </c>
      <c r="F36" s="397" t="s">
        <v>207</v>
      </c>
      <c r="G36" s="286"/>
      <c r="H36" s="46"/>
      <c r="I36" s="45"/>
      <c r="J36" s="42"/>
      <c r="L36" s="149"/>
      <c r="M36" s="149"/>
      <c r="N36" s="149"/>
      <c r="O36" s="150"/>
      <c r="P36" s="150"/>
    </row>
    <row r="37" spans="1:16" s="5" customFormat="1" ht="18" x14ac:dyDescent="0.25">
      <c r="A37" s="421" t="s">
        <v>202</v>
      </c>
      <c r="B37" s="421"/>
      <c r="C37" s="421"/>
      <c r="D37" s="37" t="s">
        <v>161</v>
      </c>
      <c r="E37" s="138">
        <v>0.33779999999999999</v>
      </c>
      <c r="F37" s="470">
        <f>C31/E31</f>
        <v>0.5</v>
      </c>
      <c r="G37" s="471"/>
      <c r="H37" s="34"/>
      <c r="I37" s="36"/>
      <c r="J37" s="42"/>
      <c r="L37" s="149"/>
      <c r="M37" s="149"/>
      <c r="N37" s="149"/>
      <c r="O37" s="150"/>
      <c r="P37" s="150"/>
    </row>
    <row r="38" spans="1:16" s="5" customFormat="1" ht="18" x14ac:dyDescent="0.25">
      <c r="A38" s="421" t="s">
        <v>203</v>
      </c>
      <c r="B38" s="421"/>
      <c r="C38" s="421"/>
      <c r="D38" s="37" t="s">
        <v>162</v>
      </c>
      <c r="E38" s="138">
        <v>0.5</v>
      </c>
      <c r="F38" s="470">
        <f>C31/(E31+A31)</f>
        <v>0.45454545454545453</v>
      </c>
      <c r="G38" s="471"/>
      <c r="H38" s="34"/>
      <c r="I38" s="36"/>
      <c r="J38" s="42"/>
      <c r="L38" s="149"/>
      <c r="M38" s="149"/>
      <c r="N38" s="149"/>
      <c r="O38" s="150"/>
      <c r="P38" s="150"/>
    </row>
    <row r="39" spans="1:16" s="5" customFormat="1" ht="18" x14ac:dyDescent="0.25">
      <c r="A39" s="421" t="s">
        <v>204</v>
      </c>
      <c r="B39" s="421"/>
      <c r="C39" s="421"/>
      <c r="D39" s="37" t="s">
        <v>163</v>
      </c>
      <c r="E39" s="138">
        <v>0.91569999999999996</v>
      </c>
      <c r="F39" s="470">
        <f>(C31+D31+B31)/(E31+A31)</f>
        <v>0.87272727272727268</v>
      </c>
      <c r="G39" s="471"/>
      <c r="H39" s="34"/>
      <c r="I39" s="36"/>
      <c r="J39" s="42"/>
      <c r="L39" s="149"/>
      <c r="M39" s="149"/>
      <c r="N39" s="149"/>
      <c r="O39" s="150"/>
      <c r="P39" s="150"/>
    </row>
    <row r="40" spans="1:16" s="5" customFormat="1" ht="18" x14ac:dyDescent="0.25">
      <c r="A40" s="421" t="s">
        <v>205</v>
      </c>
      <c r="B40" s="421"/>
      <c r="C40" s="421"/>
      <c r="D40" s="37" t="s">
        <v>164</v>
      </c>
      <c r="E40" s="138">
        <v>0.20669999999999999</v>
      </c>
      <c r="F40" s="470">
        <f>C31/B31</f>
        <v>1.6666666666666667</v>
      </c>
      <c r="G40" s="471"/>
      <c r="H40" s="34"/>
      <c r="I40" s="36"/>
      <c r="J40" s="42"/>
      <c r="L40" s="149"/>
      <c r="M40" s="149"/>
      <c r="N40" s="149"/>
      <c r="O40" s="150"/>
      <c r="P40" s="150"/>
    </row>
    <row r="41" spans="1:16" s="5" customFormat="1" ht="18" x14ac:dyDescent="0.25">
      <c r="A41" s="421" t="s">
        <v>78</v>
      </c>
      <c r="B41" s="421"/>
      <c r="C41" s="421"/>
      <c r="D41" s="37" t="s">
        <v>165</v>
      </c>
      <c r="E41" s="138">
        <v>4.83</v>
      </c>
      <c r="F41" s="470">
        <f>C31/D31</f>
        <v>3.125</v>
      </c>
      <c r="G41" s="471"/>
      <c r="H41" s="34"/>
      <c r="I41" s="36"/>
      <c r="J41" s="42"/>
      <c r="L41" s="149"/>
      <c r="M41" s="149"/>
      <c r="N41" s="149"/>
      <c r="O41" s="150"/>
      <c r="P41" s="150"/>
    </row>
    <row r="42" spans="1:16" s="5" customFormat="1" ht="18" x14ac:dyDescent="0.25">
      <c r="A42" s="45"/>
      <c r="B42" s="139"/>
      <c r="C42" s="139"/>
      <c r="D42" s="139"/>
      <c r="E42" s="36"/>
      <c r="F42" s="36"/>
      <c r="G42" s="36"/>
      <c r="H42" s="36"/>
      <c r="I42" s="36"/>
      <c r="J42" s="42"/>
      <c r="L42" s="149"/>
      <c r="M42" s="149"/>
      <c r="N42" s="149"/>
      <c r="O42" s="150"/>
      <c r="P42" s="150"/>
    </row>
    <row r="43" spans="1:16" s="5" customFormat="1" ht="18" x14ac:dyDescent="0.25">
      <c r="A43" s="45"/>
      <c r="B43" s="139"/>
      <c r="C43" s="139"/>
      <c r="D43" s="139"/>
      <c r="E43" s="8" t="s">
        <v>55</v>
      </c>
      <c r="F43" s="286" t="str">
        <f>IF(AND(F37&gt;E37,F38&gt;E38,F39&gt;E39,F40&gt;E40,F41&gt;I41),"Sự cố","Bình Thường")</f>
        <v>Bình Thường</v>
      </c>
      <c r="G43" s="287"/>
      <c r="H43" s="287"/>
      <c r="I43" s="288"/>
      <c r="J43" s="42"/>
      <c r="L43" s="149"/>
      <c r="M43" s="149"/>
      <c r="N43" s="149"/>
      <c r="O43" s="150"/>
      <c r="P43" s="150"/>
    </row>
    <row r="44" spans="1:16" s="5" customFormat="1" ht="18" x14ac:dyDescent="0.25">
      <c r="A44" s="45"/>
      <c r="B44" s="139"/>
      <c r="C44" s="139"/>
      <c r="D44" s="139"/>
      <c r="E44" s="36"/>
      <c r="F44" s="36"/>
      <c r="G44" s="36"/>
      <c r="H44" s="36"/>
      <c r="I44" s="36"/>
      <c r="J44" s="42"/>
      <c r="L44" s="149"/>
      <c r="M44" s="149"/>
      <c r="N44" s="149"/>
      <c r="O44" s="150"/>
      <c r="P44" s="150"/>
    </row>
    <row r="45" spans="1:16" s="5" customFormat="1" ht="18" x14ac:dyDescent="0.25">
      <c r="A45" s="462" t="s">
        <v>208</v>
      </c>
      <c r="B45" s="381"/>
      <c r="C45" s="381"/>
      <c r="D45" s="381"/>
      <c r="E45" s="36"/>
      <c r="F45" s="36"/>
      <c r="G45" s="36"/>
      <c r="H45" s="36"/>
      <c r="I45" s="36"/>
      <c r="J45" s="42"/>
      <c r="L45" s="149"/>
      <c r="M45" s="149"/>
      <c r="N45" s="149"/>
      <c r="O45" s="150"/>
      <c r="P45" s="150"/>
    </row>
    <row r="46" spans="1:16" s="5" customFormat="1" ht="18" x14ac:dyDescent="0.25">
      <c r="A46" s="286"/>
      <c r="B46" s="287"/>
      <c r="C46" s="288"/>
      <c r="D46" s="47" t="s">
        <v>136</v>
      </c>
      <c r="E46" s="7" t="s">
        <v>206</v>
      </c>
      <c r="F46" s="46"/>
      <c r="G46" s="36"/>
      <c r="H46" s="36"/>
      <c r="I46" s="36"/>
      <c r="J46" s="42"/>
      <c r="L46" s="149"/>
      <c r="M46" s="149"/>
      <c r="N46" s="149"/>
      <c r="O46" s="150"/>
      <c r="P46" s="150"/>
    </row>
    <row r="47" spans="1:16" s="5" customFormat="1" ht="18" x14ac:dyDescent="0.25">
      <c r="A47" s="469" t="s">
        <v>209</v>
      </c>
      <c r="B47" s="469"/>
      <c r="C47" s="469"/>
      <c r="D47" s="140">
        <f>B31+C31+D31</f>
        <v>4800</v>
      </c>
      <c r="E47" s="53"/>
      <c r="F47" s="141"/>
      <c r="G47" s="41"/>
      <c r="H47" s="41"/>
      <c r="I47" s="42"/>
      <c r="J47" s="42"/>
      <c r="L47" s="149"/>
      <c r="M47" s="149"/>
      <c r="N47" s="149"/>
      <c r="O47" s="150"/>
      <c r="P47" s="150"/>
    </row>
    <row r="48" spans="1:16" s="5" customFormat="1" ht="18" x14ac:dyDescent="0.25">
      <c r="A48" s="469" t="s">
        <v>210</v>
      </c>
      <c r="B48" s="469"/>
      <c r="C48" s="469"/>
      <c r="D48" s="140">
        <f>D47+E31+A31</f>
        <v>10300</v>
      </c>
      <c r="E48" s="53"/>
      <c r="F48" s="55"/>
      <c r="G48" s="42"/>
      <c r="H48" s="42"/>
      <c r="I48" s="42"/>
      <c r="J48" s="42"/>
      <c r="L48" s="149"/>
      <c r="M48" s="149"/>
      <c r="N48" s="149"/>
      <c r="O48" s="150"/>
      <c r="P48" s="150"/>
    </row>
    <row r="49" spans="1:16" s="5" customFormat="1" ht="18" x14ac:dyDescent="0.25">
      <c r="A49" s="421" t="s">
        <v>211</v>
      </c>
      <c r="B49" s="421"/>
      <c r="C49" s="421"/>
      <c r="D49" s="54">
        <f>100*D47/D48</f>
        <v>46.601941747572816</v>
      </c>
      <c r="E49" s="53">
        <v>50</v>
      </c>
      <c r="F49" s="142"/>
      <c r="G49" s="42"/>
      <c r="H49" s="42"/>
      <c r="I49" s="42"/>
      <c r="J49" s="42"/>
      <c r="L49" s="149"/>
      <c r="M49" s="149"/>
      <c r="N49" s="149"/>
      <c r="O49" s="150"/>
      <c r="P49" s="150"/>
    </row>
    <row r="50" spans="1:16" s="5" customFormat="1" ht="18" x14ac:dyDescent="0.25">
      <c r="A50" s="421" t="s">
        <v>212</v>
      </c>
      <c r="B50" s="421"/>
      <c r="C50" s="421"/>
      <c r="D50" s="54">
        <f>100*D47/E31</f>
        <v>96</v>
      </c>
      <c r="E50" s="53">
        <v>200</v>
      </c>
      <c r="F50" s="142"/>
      <c r="L50" s="149"/>
      <c r="M50" s="149"/>
      <c r="N50" s="149"/>
      <c r="O50" s="150"/>
      <c r="P50" s="150"/>
    </row>
    <row r="51" spans="1:16" s="5" customFormat="1" ht="18" x14ac:dyDescent="0.25">
      <c r="A51" s="421" t="s">
        <v>213</v>
      </c>
      <c r="B51" s="421"/>
      <c r="C51" s="421"/>
      <c r="D51" s="54">
        <f>100*C31/E31</f>
        <v>50</v>
      </c>
      <c r="E51" s="53">
        <v>100</v>
      </c>
      <c r="F51" s="142"/>
      <c r="L51" s="149"/>
      <c r="M51" s="149"/>
      <c r="N51" s="149"/>
      <c r="O51" s="150"/>
      <c r="P51" s="150"/>
    </row>
    <row r="52" spans="1:16" s="5" customFormat="1" ht="18" x14ac:dyDescent="0.25">
      <c r="A52" s="143"/>
      <c r="B52" s="42"/>
      <c r="C52" s="42"/>
      <c r="D52" s="42"/>
      <c r="E52" s="42"/>
      <c r="F52" s="42"/>
      <c r="G52" s="42"/>
      <c r="H52" s="42"/>
      <c r="I52" s="42"/>
      <c r="L52" s="149"/>
      <c r="M52" s="149"/>
      <c r="N52" s="149"/>
      <c r="O52" s="150"/>
      <c r="P52" s="150"/>
    </row>
    <row r="53" spans="1:16" s="5" customFormat="1" ht="18" x14ac:dyDescent="0.25">
      <c r="A53" s="143"/>
      <c r="B53" s="42"/>
      <c r="C53" s="42"/>
      <c r="D53" s="42"/>
      <c r="E53" s="22" t="s">
        <v>55</v>
      </c>
      <c r="F53" s="286" t="str">
        <f>IF(AND(D49&gt;E49,D50&gt;E50,D51&gt;E51),"Sự cố","Bình thường")</f>
        <v>Bình thường</v>
      </c>
      <c r="G53" s="287"/>
      <c r="H53" s="287"/>
      <c r="I53" s="288"/>
      <c r="L53" s="149"/>
      <c r="M53" s="149"/>
      <c r="N53" s="149"/>
      <c r="O53" s="150"/>
      <c r="P53" s="150"/>
    </row>
    <row r="54" spans="1:16" s="5" customFormat="1" ht="18" x14ac:dyDescent="0.25">
      <c r="A54" s="42"/>
      <c r="B54" s="42"/>
      <c r="C54" s="42"/>
      <c r="D54" s="42"/>
      <c r="E54" s="42"/>
      <c r="F54" s="42"/>
      <c r="G54" s="42"/>
      <c r="H54" s="42"/>
      <c r="I54" s="42"/>
      <c r="L54" s="149"/>
      <c r="M54" s="149"/>
      <c r="N54" s="149"/>
      <c r="O54" s="150"/>
      <c r="P54" s="150"/>
    </row>
    <row r="55" spans="1:16" s="5" customFormat="1" ht="18" x14ac:dyDescent="0.25">
      <c r="A55" s="462" t="s">
        <v>190</v>
      </c>
      <c r="B55" s="381"/>
      <c r="C55" s="381"/>
      <c r="D55" s="381"/>
      <c r="E55" s="383" t="s">
        <v>225</v>
      </c>
      <c r="F55" s="383"/>
      <c r="G55" s="383"/>
      <c r="H55" s="383"/>
      <c r="I55" s="383"/>
      <c r="L55" s="149"/>
      <c r="M55" s="149"/>
      <c r="N55" s="149"/>
      <c r="O55" s="150"/>
      <c r="P55" s="150"/>
    </row>
    <row r="56" spans="1:16" s="5" customFormat="1" ht="15.75" x14ac:dyDescent="0.25">
      <c r="A56" s="45"/>
      <c r="B56" s="36"/>
      <c r="C56" s="36"/>
      <c r="D56" s="36"/>
      <c r="E56" s="36"/>
      <c r="F56" s="36"/>
      <c r="G56" s="36"/>
      <c r="H56" s="36"/>
      <c r="I56" s="36"/>
    </row>
    <row r="57" spans="1:16" s="5" customFormat="1" ht="15.75" x14ac:dyDescent="0.25">
      <c r="A57" s="397" t="s">
        <v>214</v>
      </c>
      <c r="B57" s="397"/>
      <c r="C57" s="397"/>
      <c r="D57" s="47">
        <f>D47/E31</f>
        <v>0.96</v>
      </c>
      <c r="E57" s="291" t="s">
        <v>241</v>
      </c>
      <c r="F57" s="292"/>
      <c r="G57" s="409"/>
      <c r="H57" s="286" t="s">
        <v>55</v>
      </c>
      <c r="I57" s="288"/>
      <c r="J57" s="144"/>
      <c r="K57" s="144"/>
    </row>
    <row r="58" spans="1:16" s="5" customFormat="1" ht="15.75" x14ac:dyDescent="0.25">
      <c r="A58" s="397"/>
      <c r="B58" s="397"/>
      <c r="C58" s="397"/>
      <c r="D58" s="37"/>
      <c r="E58" s="463"/>
      <c r="F58" s="428"/>
      <c r="G58" s="429"/>
      <c r="H58" s="400" t="str">
        <f>IF(D57&lt;0.5,"Bình thường",IF(AND(D57&gt;0.5,D57&lt;1),"Kiểm tra lại sau 3-6 tháng",IF(AND(D57&gt;1,D57&lt;3),"Kiểm tra lại sau 1-3 tháng",IF(AND(D57&gt;3,D57&lt;5),"Kiểm tra lại sau 1 tháng",IF(D57&gt;=5,"Xuất hiện quá nhiệt, kiểm tra tiếp điểm","-")))))</f>
        <v>Kiểm tra lại sau 3-6 tháng</v>
      </c>
      <c r="I58" s="402"/>
      <c r="J58" s="144"/>
      <c r="K58" s="144"/>
    </row>
    <row r="59" spans="1:16" s="5" customFormat="1" ht="15.75" x14ac:dyDescent="0.25">
      <c r="A59" s="397" t="s">
        <v>215</v>
      </c>
      <c r="B59" s="397"/>
      <c r="C59" s="397"/>
      <c r="D59" s="37" t="s">
        <v>216</v>
      </c>
      <c r="E59" s="419" t="s">
        <v>102</v>
      </c>
      <c r="F59" s="419"/>
      <c r="G59" s="419"/>
      <c r="H59" s="464"/>
      <c r="I59" s="465"/>
      <c r="J59" s="144"/>
      <c r="K59" s="144"/>
    </row>
    <row r="60" spans="1:16" s="5" customFormat="1" ht="15.75" x14ac:dyDescent="0.25">
      <c r="A60" s="400"/>
      <c r="B60" s="401"/>
      <c r="C60" s="402"/>
      <c r="D60" s="37" t="s">
        <v>217</v>
      </c>
      <c r="E60" s="419" t="s">
        <v>218</v>
      </c>
      <c r="F60" s="419"/>
      <c r="G60" s="419"/>
      <c r="H60" s="464"/>
      <c r="I60" s="465"/>
      <c r="J60" s="144"/>
      <c r="K60" s="144"/>
    </row>
    <row r="61" spans="1:16" s="5" customFormat="1" ht="15.75" x14ac:dyDescent="0.25">
      <c r="A61" s="464"/>
      <c r="B61" s="381"/>
      <c r="C61" s="465"/>
      <c r="D61" s="37" t="s">
        <v>219</v>
      </c>
      <c r="E61" s="419" t="s">
        <v>220</v>
      </c>
      <c r="F61" s="419"/>
      <c r="G61" s="419"/>
      <c r="H61" s="464"/>
      <c r="I61" s="465"/>
      <c r="J61" s="144"/>
      <c r="K61" s="144"/>
    </row>
    <row r="62" spans="1:16" s="5" customFormat="1" ht="15.75" x14ac:dyDescent="0.25">
      <c r="A62" s="464"/>
      <c r="B62" s="381"/>
      <c r="C62" s="465"/>
      <c r="D62" s="37" t="s">
        <v>221</v>
      </c>
      <c r="E62" s="419" t="s">
        <v>222</v>
      </c>
      <c r="F62" s="419"/>
      <c r="G62" s="419"/>
      <c r="H62" s="464"/>
      <c r="I62" s="465"/>
      <c r="J62" s="144"/>
      <c r="K62" s="144"/>
    </row>
    <row r="63" spans="1:16" s="5" customFormat="1" ht="15.75" x14ac:dyDescent="0.25">
      <c r="A63" s="466"/>
      <c r="B63" s="468"/>
      <c r="C63" s="467"/>
      <c r="D63" s="37" t="s">
        <v>223</v>
      </c>
      <c r="E63" s="398" t="s">
        <v>224</v>
      </c>
      <c r="F63" s="398"/>
      <c r="G63" s="398"/>
      <c r="H63" s="466"/>
      <c r="I63" s="467"/>
      <c r="J63" s="144"/>
      <c r="K63" s="144"/>
    </row>
    <row r="64" spans="1:16" s="5" customFormat="1" ht="15.75" x14ac:dyDescent="0.25">
      <c r="A64" s="45"/>
      <c r="B64" s="139"/>
      <c r="C64" s="139"/>
      <c r="D64" s="139"/>
      <c r="E64" s="36"/>
      <c r="F64" s="36"/>
      <c r="G64" s="36"/>
      <c r="H64" s="36"/>
      <c r="I64" s="36"/>
    </row>
    <row r="65" spans="1:16" s="5" customFormat="1" ht="15.75" x14ac:dyDescent="0.25">
      <c r="A65" s="462" t="s">
        <v>191</v>
      </c>
      <c r="B65" s="381"/>
      <c r="C65" s="381"/>
      <c r="D65" s="381"/>
      <c r="E65" s="36"/>
      <c r="F65" s="16" t="s">
        <v>239</v>
      </c>
      <c r="G65" s="16">
        <f>SUM(A31:E31)</f>
        <v>10300</v>
      </c>
      <c r="H65" s="16" t="s">
        <v>240</v>
      </c>
      <c r="I65" s="16">
        <f>C31+D31</f>
        <v>3300</v>
      </c>
    </row>
    <row r="66" spans="1:16" s="5" customFormat="1" ht="15.75" x14ac:dyDescent="0.25">
      <c r="A66" s="45"/>
      <c r="B66" s="139"/>
      <c r="C66" s="139"/>
      <c r="D66" s="139"/>
      <c r="E66" s="36"/>
      <c r="F66" s="36"/>
      <c r="G66" s="36"/>
      <c r="H66" s="36"/>
      <c r="I66" s="36"/>
    </row>
    <row r="67" spans="1:16" s="5" customFormat="1" ht="15.75" x14ac:dyDescent="0.25">
      <c r="A67" s="397" t="s">
        <v>201</v>
      </c>
      <c r="B67" s="397"/>
      <c r="C67" s="397"/>
      <c r="D67" s="47" t="s">
        <v>102</v>
      </c>
      <c r="E67" s="8" t="s">
        <v>242</v>
      </c>
      <c r="F67" s="8" t="s">
        <v>243</v>
      </c>
      <c r="G67" s="8" t="s">
        <v>136</v>
      </c>
      <c r="H67" s="36"/>
      <c r="I67" s="36"/>
    </row>
    <row r="68" spans="1:16" s="5" customFormat="1" ht="15.75" x14ac:dyDescent="0.25">
      <c r="A68" s="421" t="s">
        <v>227</v>
      </c>
      <c r="B68" s="421"/>
      <c r="C68" s="421"/>
      <c r="D68" s="37" t="s">
        <v>231</v>
      </c>
      <c r="E68" s="16" t="s">
        <v>234</v>
      </c>
      <c r="F68" s="16" t="s">
        <v>237</v>
      </c>
      <c r="G68" s="37">
        <f>E31/G65</f>
        <v>0.4854368932038835</v>
      </c>
      <c r="H68" s="36"/>
      <c r="I68" s="36"/>
    </row>
    <row r="69" spans="1:16" s="5" customFormat="1" ht="15.75" x14ac:dyDescent="0.25">
      <c r="A69" s="421" t="s">
        <v>228</v>
      </c>
      <c r="B69" s="421"/>
      <c r="C69" s="421"/>
      <c r="D69" s="37" t="s">
        <v>232</v>
      </c>
      <c r="E69" s="16" t="s">
        <v>235</v>
      </c>
      <c r="F69" s="16" t="s">
        <v>235</v>
      </c>
      <c r="G69" s="37">
        <f>(A31+B31+E31)/G65</f>
        <v>0.67961165048543692</v>
      </c>
      <c r="H69" s="36"/>
      <c r="I69" s="36"/>
    </row>
    <row r="70" spans="1:16" s="5" customFormat="1" ht="15.75" x14ac:dyDescent="0.25">
      <c r="A70" s="421" t="s">
        <v>229</v>
      </c>
      <c r="B70" s="421"/>
      <c r="C70" s="421"/>
      <c r="D70" s="37" t="s">
        <v>233</v>
      </c>
      <c r="E70" s="16" t="s">
        <v>236</v>
      </c>
      <c r="F70" s="16" t="s">
        <v>238</v>
      </c>
      <c r="G70" s="37">
        <f>LOG(C31/E31)</f>
        <v>-0.3010299956639812</v>
      </c>
      <c r="H70" s="36"/>
      <c r="I70" s="36"/>
    </row>
    <row r="71" spans="1:16" s="5" customFormat="1" ht="15.75" x14ac:dyDescent="0.25">
      <c r="A71" s="421" t="s">
        <v>230</v>
      </c>
      <c r="B71" s="421"/>
      <c r="C71" s="421"/>
      <c r="D71" s="37" t="s">
        <v>233</v>
      </c>
      <c r="E71" s="16" t="s">
        <v>236</v>
      </c>
      <c r="F71" s="16" t="s">
        <v>238</v>
      </c>
      <c r="G71" s="145">
        <f>LOG((C31+D31)/E31)</f>
        <v>-0.18045606445813131</v>
      </c>
      <c r="H71" s="36"/>
      <c r="I71" s="36"/>
    </row>
    <row r="72" spans="1:16" s="5" customFormat="1" ht="15.75" x14ac:dyDescent="0.25">
      <c r="A72" s="45"/>
      <c r="B72" s="139"/>
      <c r="C72" s="139"/>
      <c r="D72" s="139"/>
      <c r="E72" s="36"/>
      <c r="F72" s="36"/>
      <c r="G72" s="36"/>
      <c r="H72" s="36"/>
      <c r="I72" s="36"/>
    </row>
    <row r="73" spans="1:16" s="5" customFormat="1" ht="15.75" x14ac:dyDescent="0.25">
      <c r="A73" s="45"/>
      <c r="B73" s="139"/>
      <c r="C73" s="139"/>
      <c r="D73" s="139"/>
      <c r="E73" s="45"/>
      <c r="F73" s="144"/>
      <c r="G73" s="146" t="s">
        <v>55</v>
      </c>
      <c r="H73" s="286" t="str">
        <f>IF(AND(G68&gt;0.3,G68&lt;1,G69&gt;0.7,G69&lt;1,G70&lt;0,G71&lt;0),"Bình thường",IF(AND(G68&lt;0.3,G69&lt;0.7,G70&gt;=0,G70&lt;=0.5,G71&gt;=0,G71&lt;=0.5),"Cảnh báo",IF(AND(G68&lt;=0.1,G69&lt;0.7,G70&gt;0.5,G71&gt;0.5),"Sự cố","Bình thường")))</f>
        <v>Bình thường</v>
      </c>
      <c r="I73" s="288"/>
    </row>
    <row r="75" spans="1:16" s="25" customFormat="1" x14ac:dyDescent="0.2"/>
    <row r="76" spans="1:16" s="25" customFormat="1" ht="33" customHeight="1" x14ac:dyDescent="0.25">
      <c r="A76" s="430" t="s">
        <v>358</v>
      </c>
      <c r="B76" s="247"/>
      <c r="C76" s="247"/>
      <c r="D76" s="247"/>
      <c r="E76" s="247"/>
      <c r="F76" s="247"/>
      <c r="G76" s="248"/>
      <c r="H76" s="185"/>
      <c r="I76" s="185"/>
    </row>
    <row r="77" spans="1:16" s="25" customFormat="1" x14ac:dyDescent="0.2">
      <c r="A77" s="186"/>
      <c r="B77" s="187"/>
      <c r="C77" s="187"/>
      <c r="D77" s="187"/>
      <c r="E77" s="187"/>
      <c r="F77" s="187"/>
      <c r="G77" s="188"/>
    </row>
    <row r="78" spans="1:16" s="25" customFormat="1" x14ac:dyDescent="0.2"/>
    <row r="79" spans="1:16" s="25" customFormat="1" ht="15.75" x14ac:dyDescent="0.25">
      <c r="A79" s="431" t="s">
        <v>347</v>
      </c>
      <c r="B79" s="432"/>
      <c r="C79" s="432"/>
      <c r="D79" s="433"/>
      <c r="E79" s="160" t="s">
        <v>343</v>
      </c>
      <c r="F79" s="160" t="s">
        <v>345</v>
      </c>
      <c r="G79" s="160" t="s">
        <v>346</v>
      </c>
      <c r="H79" s="161" t="s">
        <v>363</v>
      </c>
      <c r="I79" s="161" t="s">
        <v>360</v>
      </c>
      <c r="K79" s="437"/>
      <c r="L79" s="438"/>
      <c r="M79" s="438"/>
      <c r="N79" s="196"/>
      <c r="O79" s="437"/>
      <c r="P79" s="438"/>
    </row>
    <row r="80" spans="1:16" s="25" customFormat="1" ht="15.75" x14ac:dyDescent="0.25">
      <c r="A80" s="439" t="s">
        <v>339</v>
      </c>
      <c r="B80" s="440"/>
      <c r="C80" s="440"/>
      <c r="D80" s="441"/>
      <c r="E80" s="159" t="s">
        <v>344</v>
      </c>
      <c r="F80" s="190">
        <f>(A87+E87)/G87</f>
        <v>0.49773755656108598</v>
      </c>
      <c r="G80" s="179" t="s">
        <v>348</v>
      </c>
      <c r="H80" s="179" t="s">
        <v>349</v>
      </c>
      <c r="I80" s="179" t="s">
        <v>350</v>
      </c>
      <c r="K80" s="474"/>
      <c r="L80" s="438"/>
      <c r="M80" s="438"/>
      <c r="O80" s="445"/>
      <c r="P80" s="445"/>
    </row>
    <row r="81" spans="1:16" s="25" customFormat="1" ht="15.75" x14ac:dyDescent="0.25">
      <c r="A81" s="446" t="s">
        <v>340</v>
      </c>
      <c r="B81" s="447"/>
      <c r="C81" s="447"/>
      <c r="D81" s="448"/>
      <c r="E81" s="159" t="s">
        <v>161</v>
      </c>
      <c r="F81" s="190">
        <f>H87/J87</f>
        <v>0.48979591836734693</v>
      </c>
      <c r="G81" s="179" t="s">
        <v>351</v>
      </c>
      <c r="H81" s="179" t="s">
        <v>352</v>
      </c>
      <c r="I81" s="179" t="s">
        <v>353</v>
      </c>
      <c r="K81" s="474"/>
      <c r="L81" s="438"/>
      <c r="M81" s="438"/>
      <c r="O81" s="445"/>
      <c r="P81" s="445"/>
    </row>
    <row r="82" spans="1:16" ht="15.75" x14ac:dyDescent="0.25">
      <c r="A82" s="449" t="s">
        <v>341</v>
      </c>
      <c r="B82" s="447"/>
      <c r="C82" s="447"/>
      <c r="D82" s="448"/>
      <c r="E82" s="166" t="s">
        <v>162</v>
      </c>
      <c r="F82" s="190">
        <f>H87/E87</f>
        <v>0.96</v>
      </c>
      <c r="G82" s="179" t="s">
        <v>353</v>
      </c>
      <c r="H82" s="179" t="s">
        <v>354</v>
      </c>
      <c r="I82" s="179" t="s">
        <v>355</v>
      </c>
      <c r="J82" s="25"/>
      <c r="K82" s="474"/>
      <c r="L82" s="438"/>
      <c r="M82" s="438"/>
      <c r="N82" s="25"/>
      <c r="O82" s="445"/>
      <c r="P82" s="445"/>
    </row>
    <row r="83" spans="1:16" ht="15.75" x14ac:dyDescent="0.25">
      <c r="A83" s="449" t="s">
        <v>342</v>
      </c>
      <c r="B83" s="447"/>
      <c r="C83" s="447"/>
      <c r="D83" s="448"/>
      <c r="E83" s="166" t="s">
        <v>163</v>
      </c>
      <c r="F83" s="190">
        <f>C87/E87</f>
        <v>0.5</v>
      </c>
      <c r="G83" s="179" t="s">
        <v>356</v>
      </c>
      <c r="H83" s="179" t="s">
        <v>355</v>
      </c>
      <c r="I83" s="179" t="s">
        <v>357</v>
      </c>
      <c r="J83" s="25"/>
      <c r="K83" s="474"/>
      <c r="L83" s="474"/>
      <c r="M83" s="474"/>
      <c r="N83" s="25"/>
      <c r="O83" s="445"/>
      <c r="P83" s="445"/>
    </row>
    <row r="84" spans="1:16" x14ac:dyDescent="0.2">
      <c r="O84" s="445"/>
      <c r="P84" s="445"/>
    </row>
    <row r="85" spans="1:16" ht="15.75" x14ac:dyDescent="0.25">
      <c r="A85" s="397" t="s">
        <v>171</v>
      </c>
      <c r="B85" s="397"/>
      <c r="C85" s="397"/>
      <c r="D85" s="397"/>
      <c r="E85" s="397"/>
      <c r="F85" s="178"/>
      <c r="O85" s="445"/>
      <c r="P85" s="445"/>
    </row>
    <row r="86" spans="1:16" ht="15" x14ac:dyDescent="0.25">
      <c r="A86" s="192" t="s">
        <v>2</v>
      </c>
      <c r="B86" s="192" t="s">
        <v>3</v>
      </c>
      <c r="C86" s="192" t="s">
        <v>4</v>
      </c>
      <c r="D86" s="192" t="s">
        <v>5</v>
      </c>
      <c r="E86" s="192" t="s">
        <v>6</v>
      </c>
      <c r="F86" s="193" t="s">
        <v>7</v>
      </c>
      <c r="G86" s="194" t="s">
        <v>9</v>
      </c>
      <c r="H86" s="476" t="s">
        <v>119</v>
      </c>
      <c r="I86" s="472"/>
      <c r="J86" s="472" t="s">
        <v>359</v>
      </c>
      <c r="K86" s="472"/>
      <c r="L86" s="472"/>
    </row>
    <row r="87" spans="1:16" ht="15.75" x14ac:dyDescent="0.25">
      <c r="A87" s="108">
        <f>OLTC!A10</f>
        <v>500</v>
      </c>
      <c r="B87" s="108">
        <f>OLTC!B10</f>
        <v>1500</v>
      </c>
      <c r="C87" s="108">
        <f>OLTC!C10</f>
        <v>2500</v>
      </c>
      <c r="D87" s="108">
        <f>OLTC!D10</f>
        <v>800</v>
      </c>
      <c r="E87" s="108">
        <f>OLTC!E10</f>
        <v>5000</v>
      </c>
      <c r="F87" s="189">
        <f>OLTC!F10</f>
        <v>750</v>
      </c>
      <c r="G87" s="195">
        <f>SUM(A87:F87)</f>
        <v>11050</v>
      </c>
      <c r="H87" s="473">
        <f>B87+C87+D87</f>
        <v>4800</v>
      </c>
      <c r="I87" s="473"/>
      <c r="J87" s="473">
        <f>H87+E87</f>
        <v>9800</v>
      </c>
      <c r="K87" s="473"/>
      <c r="L87" s="473"/>
    </row>
    <row r="89" spans="1:16" x14ac:dyDescent="0.2">
      <c r="G89" s="168" t="s">
        <v>360</v>
      </c>
      <c r="H89" s="168" t="s">
        <v>362</v>
      </c>
      <c r="I89" s="168" t="s">
        <v>364</v>
      </c>
      <c r="K89" s="198"/>
      <c r="L89" s="198"/>
      <c r="M89" s="198"/>
    </row>
    <row r="90" spans="1:16" x14ac:dyDescent="0.2">
      <c r="G90" s="92" t="s">
        <v>360</v>
      </c>
      <c r="H90" s="92" t="str">
        <f>IF(AND(F80&lt;=0.15,F81&gt;=0.8,F82&gt;=6,F83&gt;=9),"true","false")</f>
        <v>false</v>
      </c>
      <c r="I90" s="478" t="str">
        <f>INDEX($G$90:$G$93,MATCH("true",$H$90:$H$93,0))</f>
        <v>Normal</v>
      </c>
      <c r="K90" s="191"/>
      <c r="L90" s="25"/>
      <c r="M90" s="475"/>
    </row>
    <row r="91" spans="1:16" x14ac:dyDescent="0.2">
      <c r="G91" s="92" t="s">
        <v>363</v>
      </c>
      <c r="H91" s="92" t="str">
        <f>IF(AND(F80&lt;=0.35,F81&gt;=0.6,F82&gt;=4,F83&gt;=6),"true","false")</f>
        <v>false</v>
      </c>
      <c r="I91" s="479"/>
      <c r="K91" s="191"/>
      <c r="L91" s="25"/>
      <c r="M91" s="475"/>
    </row>
    <row r="92" spans="1:16" x14ac:dyDescent="0.2">
      <c r="G92" s="92" t="s">
        <v>361</v>
      </c>
      <c r="H92" s="92" t="str">
        <f>IF(AND(F80&lt;=0.6,F81&gt;=0.5,F82&gt;=0.8,F83&gt;=1),"true","false")</f>
        <v>false</v>
      </c>
      <c r="I92" s="479"/>
      <c r="K92" s="191"/>
      <c r="L92" s="25"/>
      <c r="M92" s="475"/>
    </row>
    <row r="93" spans="1:16" x14ac:dyDescent="0.2">
      <c r="G93" s="167" t="s">
        <v>95</v>
      </c>
      <c r="H93" s="92" t="str">
        <f>IF(AND(H92=FALSE,H91=FALSE,H90=FALSE),"false","true")</f>
        <v>true</v>
      </c>
      <c r="I93" s="480"/>
      <c r="K93" s="191"/>
      <c r="L93" s="25"/>
      <c r="M93" s="475"/>
    </row>
    <row r="96" spans="1:16" s="25" customFormat="1" ht="33" customHeight="1" x14ac:dyDescent="0.25">
      <c r="A96" s="430" t="s">
        <v>374</v>
      </c>
      <c r="B96" s="247"/>
      <c r="C96" s="247"/>
      <c r="D96" s="247"/>
      <c r="E96" s="247"/>
      <c r="F96" s="247"/>
      <c r="G96" s="248"/>
      <c r="H96" s="185"/>
      <c r="I96" s="185"/>
    </row>
    <row r="97" spans="1:16" s="25" customFormat="1" x14ac:dyDescent="0.2">
      <c r="A97" s="186"/>
      <c r="B97" s="187"/>
      <c r="C97" s="187"/>
      <c r="D97" s="187"/>
      <c r="E97" s="187"/>
      <c r="F97" s="187"/>
      <c r="G97" s="188"/>
    </row>
    <row r="98" spans="1:16" s="25" customFormat="1" x14ac:dyDescent="0.2"/>
    <row r="99" spans="1:16" s="25" customFormat="1" ht="15.75" x14ac:dyDescent="0.25">
      <c r="A99" s="431" t="s">
        <v>347</v>
      </c>
      <c r="B99" s="432"/>
      <c r="C99" s="432"/>
      <c r="D99" s="433"/>
      <c r="E99" s="160" t="s">
        <v>343</v>
      </c>
      <c r="F99" s="160" t="s">
        <v>345</v>
      </c>
      <c r="G99" s="160" t="s">
        <v>95</v>
      </c>
      <c r="H99" s="161" t="s">
        <v>363</v>
      </c>
      <c r="I99" s="161" t="s">
        <v>360</v>
      </c>
      <c r="K99" s="437"/>
      <c r="L99" s="438"/>
      <c r="M99" s="438"/>
      <c r="N99" s="196"/>
      <c r="O99" s="437"/>
      <c r="P99" s="438"/>
    </row>
    <row r="100" spans="1:16" s="25" customFormat="1" ht="15.75" x14ac:dyDescent="0.25">
      <c r="A100" s="439" t="s">
        <v>365</v>
      </c>
      <c r="B100" s="440"/>
      <c r="C100" s="440"/>
      <c r="D100" s="441"/>
      <c r="E100" s="159" t="s">
        <v>368</v>
      </c>
      <c r="F100" s="190">
        <f>E107/G107</f>
        <v>0.3436426116838488</v>
      </c>
      <c r="G100" s="197" t="s">
        <v>231</v>
      </c>
      <c r="H100" s="197" t="s">
        <v>234</v>
      </c>
      <c r="I100" s="197" t="s">
        <v>237</v>
      </c>
      <c r="K100" s="474"/>
      <c r="L100" s="438"/>
      <c r="M100" s="438"/>
      <c r="O100" s="445"/>
      <c r="P100" s="445"/>
    </row>
    <row r="101" spans="1:16" s="25" customFormat="1" ht="15.75" x14ac:dyDescent="0.25">
      <c r="A101" s="446" t="s">
        <v>372</v>
      </c>
      <c r="B101" s="447"/>
      <c r="C101" s="447"/>
      <c r="D101" s="448"/>
      <c r="E101" s="159" t="s">
        <v>369</v>
      </c>
      <c r="F101" s="190">
        <f>J107/G107</f>
        <v>0.72164948453608246</v>
      </c>
      <c r="G101" s="197" t="s">
        <v>232</v>
      </c>
      <c r="H101" s="197" t="s">
        <v>235</v>
      </c>
      <c r="I101" s="197" t="s">
        <v>235</v>
      </c>
      <c r="K101" s="474"/>
      <c r="L101" s="438"/>
      <c r="M101" s="438"/>
      <c r="O101" s="445"/>
      <c r="P101" s="445"/>
    </row>
    <row r="102" spans="1:16" ht="15.75" x14ac:dyDescent="0.25">
      <c r="A102" s="449" t="s">
        <v>366</v>
      </c>
      <c r="B102" s="447"/>
      <c r="C102" s="447"/>
      <c r="D102" s="448"/>
      <c r="E102" s="166" t="s">
        <v>370</v>
      </c>
      <c r="F102" s="190">
        <f>LOG10(C107/E107)</f>
        <v>-0.3010299956639812</v>
      </c>
      <c r="G102" s="197" t="s">
        <v>233</v>
      </c>
      <c r="H102" s="197" t="s">
        <v>236</v>
      </c>
      <c r="I102" s="197" t="s">
        <v>238</v>
      </c>
      <c r="J102" s="25"/>
      <c r="K102" s="474"/>
      <c r="L102" s="438"/>
      <c r="M102" s="438"/>
      <c r="N102" s="25"/>
      <c r="O102" s="445"/>
      <c r="P102" s="445"/>
    </row>
    <row r="103" spans="1:16" ht="15.75" x14ac:dyDescent="0.25">
      <c r="A103" s="449" t="s">
        <v>367</v>
      </c>
      <c r="B103" s="447"/>
      <c r="C103" s="447"/>
      <c r="D103" s="448"/>
      <c r="E103" s="166" t="s">
        <v>371</v>
      </c>
      <c r="F103" s="190">
        <f>LOG10(H107/E107)</f>
        <v>-0.18045606445813131</v>
      </c>
      <c r="G103" s="197" t="s">
        <v>233</v>
      </c>
      <c r="H103" s="197" t="s">
        <v>236</v>
      </c>
      <c r="I103" s="197" t="s">
        <v>238</v>
      </c>
      <c r="J103" s="25"/>
      <c r="K103" s="474"/>
      <c r="L103" s="474"/>
      <c r="M103" s="474"/>
      <c r="N103" s="25"/>
      <c r="O103" s="445"/>
      <c r="P103" s="445"/>
    </row>
    <row r="104" spans="1:16" x14ac:dyDescent="0.2">
      <c r="O104" s="445"/>
      <c r="P104" s="445"/>
    </row>
    <row r="105" spans="1:16" ht="15.75" x14ac:dyDescent="0.25">
      <c r="A105" s="397" t="s">
        <v>171</v>
      </c>
      <c r="B105" s="397"/>
      <c r="C105" s="397"/>
      <c r="D105" s="397"/>
      <c r="E105" s="397"/>
      <c r="F105" s="178"/>
      <c r="O105" s="445"/>
      <c r="P105" s="445"/>
    </row>
    <row r="106" spans="1:16" ht="15" x14ac:dyDescent="0.25">
      <c r="A106" s="192" t="s">
        <v>2</v>
      </c>
      <c r="B106" s="192" t="s">
        <v>3</v>
      </c>
      <c r="C106" s="192" t="s">
        <v>4</v>
      </c>
      <c r="D106" s="192" t="s">
        <v>5</v>
      </c>
      <c r="E106" s="192" t="s">
        <v>6</v>
      </c>
      <c r="F106" s="193" t="s">
        <v>7</v>
      </c>
      <c r="G106" s="194" t="s">
        <v>9</v>
      </c>
      <c r="H106" s="476" t="s">
        <v>240</v>
      </c>
      <c r="I106" s="472"/>
      <c r="J106" s="472" t="s">
        <v>373</v>
      </c>
      <c r="K106" s="472"/>
      <c r="L106" s="472"/>
    </row>
    <row r="107" spans="1:16" ht="15.75" x14ac:dyDescent="0.25">
      <c r="A107" s="108">
        <f>OLTC!A10</f>
        <v>500</v>
      </c>
      <c r="B107" s="108">
        <f>+E107</f>
        <v>5000</v>
      </c>
      <c r="C107" s="108">
        <f>OLTC!C10</f>
        <v>2500</v>
      </c>
      <c r="D107" s="108">
        <f>OLTC!D10</f>
        <v>800</v>
      </c>
      <c r="E107" s="108">
        <f>OLTC!E10</f>
        <v>5000</v>
      </c>
      <c r="F107" s="189">
        <f>OLTC!F10</f>
        <v>750</v>
      </c>
      <c r="G107" s="195">
        <f>SUM(A107:F107)</f>
        <v>14550</v>
      </c>
      <c r="H107" s="473">
        <f>C107+D107</f>
        <v>3300</v>
      </c>
      <c r="I107" s="473"/>
      <c r="J107" s="473">
        <f>A107+B107+E107</f>
        <v>10500</v>
      </c>
      <c r="K107" s="473"/>
      <c r="L107" s="473"/>
    </row>
    <row r="109" spans="1:16" x14ac:dyDescent="0.2">
      <c r="K109" s="168" t="s">
        <v>360</v>
      </c>
      <c r="L109" s="168" t="s">
        <v>362</v>
      </c>
      <c r="M109" s="168" t="s">
        <v>364</v>
      </c>
    </row>
    <row r="110" spans="1:16" x14ac:dyDescent="0.2">
      <c r="K110" s="167" t="s">
        <v>95</v>
      </c>
      <c r="L110" s="92" t="str">
        <f>IF(OR(AND(F100&gt;=0.3,F100&lt;=1,F101&gt;=0.7,F101&lt;=1,F102&lt;0,G103&lt;0),AND(F100&lt;0.3,F101&lt;0.7,F102&gt;=0,F102&lt;=0.5,F103&gt;=0,F103&lt;=0.5),AND(F100&lt;=0.1,F101&lt;0.7,F102&gt;0.5,F103&gt;0.5)),"false","true")</f>
        <v>true</v>
      </c>
      <c r="M110" s="477" t="str">
        <f>INDEX($K$110:$K$112,MATCH("true",$L$110:$L$112,0))</f>
        <v>Normal</v>
      </c>
    </row>
    <row r="111" spans="1:16" x14ac:dyDescent="0.2">
      <c r="K111" s="167" t="s">
        <v>363</v>
      </c>
      <c r="L111" s="92" t="str">
        <f>IF(AND(F100&gt;=0.1,F100&lt;0.3,F101&lt;0.7,F102&gt;=0,F102&lt;=0.5,F103&gt;=0,F103&lt;=0.5),"true","false")</f>
        <v>false</v>
      </c>
      <c r="M111" s="477"/>
    </row>
    <row r="112" spans="1:16" x14ac:dyDescent="0.2">
      <c r="K112" s="167" t="s">
        <v>360</v>
      </c>
      <c r="L112" s="92" t="str">
        <f>IF(AND(F100&lt;=0.1,F101&lt;0.7,F102&gt;0.5,F103&gt;0.5),"true","false")</f>
        <v>false</v>
      </c>
      <c r="M112" s="477"/>
    </row>
    <row r="113" spans="11:13" x14ac:dyDescent="0.2">
      <c r="K113" s="167"/>
      <c r="L113" s="92"/>
      <c r="M113" s="477"/>
    </row>
  </sheetData>
  <mergeCells count="86">
    <mergeCell ref="M110:M113"/>
    <mergeCell ref="I90:I93"/>
    <mergeCell ref="O104:P105"/>
    <mergeCell ref="A105:E105"/>
    <mergeCell ref="H106:I106"/>
    <mergeCell ref="J106:L106"/>
    <mergeCell ref="H107:I107"/>
    <mergeCell ref="J107:L107"/>
    <mergeCell ref="A100:D100"/>
    <mergeCell ref="K100:M100"/>
    <mergeCell ref="O100:P103"/>
    <mergeCell ref="A101:D101"/>
    <mergeCell ref="K101:M101"/>
    <mergeCell ref="A102:D102"/>
    <mergeCell ref="K102:M102"/>
    <mergeCell ref="A103:D103"/>
    <mergeCell ref="K103:M103"/>
    <mergeCell ref="O79:P79"/>
    <mergeCell ref="O80:P83"/>
    <mergeCell ref="O84:P85"/>
    <mergeCell ref="M90:M93"/>
    <mergeCell ref="A96:G96"/>
    <mergeCell ref="A99:D99"/>
    <mergeCell ref="K99:M99"/>
    <mergeCell ref="O99:P99"/>
    <mergeCell ref="H87:I87"/>
    <mergeCell ref="H86:I86"/>
    <mergeCell ref="J86:L86"/>
    <mergeCell ref="J87:L87"/>
    <mergeCell ref="K79:M79"/>
    <mergeCell ref="K80:M80"/>
    <mergeCell ref="K81:M81"/>
    <mergeCell ref="K82:M82"/>
    <mergeCell ref="K83:M83"/>
    <mergeCell ref="A29:E29"/>
    <mergeCell ref="A34:D34"/>
    <mergeCell ref="A36:C36"/>
    <mergeCell ref="F36:G36"/>
    <mergeCell ref="A37:C37"/>
    <mergeCell ref="F37:G37"/>
    <mergeCell ref="A38:C38"/>
    <mergeCell ref="F38:G38"/>
    <mergeCell ref="A39:C39"/>
    <mergeCell ref="F39:G39"/>
    <mergeCell ref="A40:C40"/>
    <mergeCell ref="F40:G40"/>
    <mergeCell ref="A41:C41"/>
    <mergeCell ref="F41:G41"/>
    <mergeCell ref="F43:I43"/>
    <mergeCell ref="A45:D45"/>
    <mergeCell ref="A46:C46"/>
    <mergeCell ref="A47:C47"/>
    <mergeCell ref="A48:C48"/>
    <mergeCell ref="A49:C49"/>
    <mergeCell ref="A50:C50"/>
    <mergeCell ref="A51:C51"/>
    <mergeCell ref="F53:I53"/>
    <mergeCell ref="A55:D55"/>
    <mergeCell ref="E55:I55"/>
    <mergeCell ref="A57:C57"/>
    <mergeCell ref="E57:G57"/>
    <mergeCell ref="H57:I57"/>
    <mergeCell ref="A58:C58"/>
    <mergeCell ref="E58:G58"/>
    <mergeCell ref="H58:I63"/>
    <mergeCell ref="A59:C59"/>
    <mergeCell ref="E59:G59"/>
    <mergeCell ref="A60:C63"/>
    <mergeCell ref="E60:G60"/>
    <mergeCell ref="E61:G61"/>
    <mergeCell ref="E62:G62"/>
    <mergeCell ref="E63:G63"/>
    <mergeCell ref="A65:D65"/>
    <mergeCell ref="A71:C71"/>
    <mergeCell ref="H73:I73"/>
    <mergeCell ref="A67:C67"/>
    <mergeCell ref="A68:C68"/>
    <mergeCell ref="A69:C69"/>
    <mergeCell ref="A70:C70"/>
    <mergeCell ref="A85:E85"/>
    <mergeCell ref="A76:G76"/>
    <mergeCell ref="A79:D79"/>
    <mergeCell ref="A80:D80"/>
    <mergeCell ref="A81:D81"/>
    <mergeCell ref="A82:D82"/>
    <mergeCell ref="A83:D83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MBA</vt:lpstr>
      <vt:lpstr>Sheet2</vt:lpstr>
      <vt:lpstr>OLTC</vt:lpstr>
      <vt:lpstr>Sheet4</vt:lpstr>
      <vt:lpstr>KETQUA1</vt:lpstr>
      <vt:lpstr>KETQUA2</vt:lpstr>
      <vt:lpstr>KETQUA3</vt:lpstr>
      <vt:lpstr>KETQUA4</vt:lpstr>
      <vt:lpstr>KETQUA5</vt:lpstr>
      <vt:lpstr>KETQUA6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cloudconvert_19</cp:lastModifiedBy>
  <dcterms:created xsi:type="dcterms:W3CDTF">2017-04-16T15:08:50Z</dcterms:created>
  <dcterms:modified xsi:type="dcterms:W3CDTF">2021-06-07T15:49:20Z</dcterms:modified>
</cp:coreProperties>
</file>