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slicers/slicer2.xml" ContentType="application/vnd.ms-excel.slicer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drawings/drawing3.xml" ContentType="application/vnd.openxmlformats-officedocument.drawing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nnivasteiro/Library/CloudStorage/OneDrive-NorwegianUniversityofLifeSciences/Documents/code/cubiai/sunniva/"/>
    </mc:Choice>
  </mc:AlternateContent>
  <xr:revisionPtr revIDLastSave="0" documentId="13_ncr:1_{5917CAF8-B761-7741-A65D-887058EDA65B}" xr6:coauthVersionLast="47" xr6:coauthVersionMax="47" xr10:uidLastSave="{00000000-0000-0000-0000-000000000000}"/>
  <bookViews>
    <workbookView xWindow="0" yWindow="500" windowWidth="28800" windowHeight="15720" activeTab="2" xr2:uid="{073A621E-6535-4C7F-988B-0DCC0295B5BD}"/>
  </bookViews>
  <sheets>
    <sheet name="Binary Experiments" sheetId="5" r:id="rId1"/>
    <sheet name="Multiclass Experiments" sheetId="7" r:id="rId2"/>
    <sheet name="Datasets" sheetId="2" r:id="rId3"/>
    <sheet name="Kladdeark" sheetId="3" r:id="rId4"/>
    <sheet name="Old Experiments" sheetId="1" r:id="rId5"/>
  </sheets>
  <definedNames>
    <definedName name="Slicer_Problem_type">#N/A</definedName>
    <definedName name="Slicer_Problem_type1">#N/A</definedName>
  </definedNames>
  <calcPr calcId="191029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6"/>
        <x14:slicerCache r:id="rId7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3" i="5" l="1"/>
  <c r="Y43" i="5"/>
  <c r="AB43" i="5" s="1"/>
  <c r="AI43" i="5"/>
  <c r="AK43" i="5"/>
  <c r="AL43" i="5"/>
  <c r="E41" i="5"/>
  <c r="Y41" i="5"/>
  <c r="Z41" i="5" s="1"/>
  <c r="AI41" i="5"/>
  <c r="AK41" i="5"/>
  <c r="AL41" i="5"/>
  <c r="AI47" i="5"/>
  <c r="AK47" i="5"/>
  <c r="AL47" i="5"/>
  <c r="F13" i="7"/>
  <c r="E53" i="5"/>
  <c r="AI53" i="5"/>
  <c r="AK53" i="5"/>
  <c r="AL53" i="5"/>
  <c r="J15" i="2"/>
  <c r="B28" i="2"/>
  <c r="AL42" i="5"/>
  <c r="AL14" i="5"/>
  <c r="AL18" i="5"/>
  <c r="AL16" i="5"/>
  <c r="AL19" i="5"/>
  <c r="AL9" i="5"/>
  <c r="AL17" i="5"/>
  <c r="AL24" i="5"/>
  <c r="AL15" i="5"/>
  <c r="AL26" i="5"/>
  <c r="AL8" i="5"/>
  <c r="AL23" i="5"/>
  <c r="AL21" i="5"/>
  <c r="AL25" i="5"/>
  <c r="AL11" i="5"/>
  <c r="AL4" i="5"/>
  <c r="AL20" i="5"/>
  <c r="AL10" i="5"/>
  <c r="AL22" i="5"/>
  <c r="AL3" i="5"/>
  <c r="AL6" i="5"/>
  <c r="AL27" i="5"/>
  <c r="AL12" i="5"/>
  <c r="AL5" i="5"/>
  <c r="AL2" i="5"/>
  <c r="AL7" i="5"/>
  <c r="AL28" i="5"/>
  <c r="AL29" i="5"/>
  <c r="AL30" i="5"/>
  <c r="AL31" i="5"/>
  <c r="AL32" i="5"/>
  <c r="AL33" i="5"/>
  <c r="AL34" i="5"/>
  <c r="AL35" i="5"/>
  <c r="AL36" i="5"/>
  <c r="AL37" i="5"/>
  <c r="AL38" i="5"/>
  <c r="AL39" i="5"/>
  <c r="AL40" i="5"/>
  <c r="AL13" i="5"/>
  <c r="AL44" i="5"/>
  <c r="AL45" i="5"/>
  <c r="AL46" i="5"/>
  <c r="AL48" i="5"/>
  <c r="AL49" i="5"/>
  <c r="AL50" i="5"/>
  <c r="AL51" i="5"/>
  <c r="AL52" i="5"/>
  <c r="AK42" i="5"/>
  <c r="AK14" i="5"/>
  <c r="AK18" i="5"/>
  <c r="AK16" i="5"/>
  <c r="AK19" i="5"/>
  <c r="AK9" i="5"/>
  <c r="AK17" i="5"/>
  <c r="AK24" i="5"/>
  <c r="AK15" i="5"/>
  <c r="AK26" i="5"/>
  <c r="AK8" i="5"/>
  <c r="AK23" i="5"/>
  <c r="AK21" i="5"/>
  <c r="AK25" i="5"/>
  <c r="AK11" i="5"/>
  <c r="AK4" i="5"/>
  <c r="AK20" i="5"/>
  <c r="AK10" i="5"/>
  <c r="AK22" i="5"/>
  <c r="AK3" i="5"/>
  <c r="AK6" i="5"/>
  <c r="AK27" i="5"/>
  <c r="AK12" i="5"/>
  <c r="AK5" i="5"/>
  <c r="AK2" i="5"/>
  <c r="AK7" i="5"/>
  <c r="AK28" i="5"/>
  <c r="AK29" i="5"/>
  <c r="AK30" i="5"/>
  <c r="AK31" i="5"/>
  <c r="AK32" i="5"/>
  <c r="AK33" i="5"/>
  <c r="AK34" i="5"/>
  <c r="AK35" i="5"/>
  <c r="AK36" i="5"/>
  <c r="AK37" i="5"/>
  <c r="AK38" i="5"/>
  <c r="AK39" i="5"/>
  <c r="AK40" i="5"/>
  <c r="AK13" i="5"/>
  <c r="AK44" i="5"/>
  <c r="AK45" i="5"/>
  <c r="AK46" i="5"/>
  <c r="AK48" i="5"/>
  <c r="AK49" i="5"/>
  <c r="AK50" i="5"/>
  <c r="AK51" i="5"/>
  <c r="AK52" i="5"/>
  <c r="AF41" i="5" l="1"/>
  <c r="AG41" i="5"/>
  <c r="AB41" i="5"/>
  <c r="AE41" i="5"/>
  <c r="AD41" i="5"/>
  <c r="AA41" i="5"/>
  <c r="AG43" i="5"/>
  <c r="AE43" i="5"/>
  <c r="AA43" i="5"/>
  <c r="AC43" i="5"/>
  <c r="AD43" i="5"/>
  <c r="Z43" i="5"/>
  <c r="AF43" i="5"/>
  <c r="AC41" i="5"/>
  <c r="AI52" i="5"/>
  <c r="AI50" i="5"/>
  <c r="AH41" i="5" l="1"/>
  <c r="AH43" i="5"/>
  <c r="AI49" i="5"/>
  <c r="AI51" i="5"/>
  <c r="AI48" i="5"/>
  <c r="E42" i="5"/>
  <c r="E14" i="5"/>
  <c r="E18" i="5"/>
  <c r="E16" i="5"/>
  <c r="E19" i="5"/>
  <c r="E9" i="5"/>
  <c r="E17" i="5"/>
  <c r="E44" i="5"/>
  <c r="E45" i="5"/>
  <c r="E24" i="5"/>
  <c r="E15" i="5"/>
  <c r="E26" i="5"/>
  <c r="E8" i="5"/>
  <c r="E29" i="5"/>
  <c r="E23" i="5"/>
  <c r="E21" i="5"/>
  <c r="E25" i="5"/>
  <c r="E11" i="5"/>
  <c r="E4" i="5"/>
  <c r="E30" i="5"/>
  <c r="E20" i="5"/>
  <c r="E10" i="5"/>
  <c r="E22" i="5"/>
  <c r="E3" i="5"/>
  <c r="E6" i="5"/>
  <c r="E27" i="5"/>
  <c r="E12" i="5"/>
  <c r="E5" i="5"/>
  <c r="E2" i="5"/>
  <c r="E7" i="5"/>
  <c r="E37" i="5"/>
  <c r="E32" i="5"/>
  <c r="E38" i="5"/>
  <c r="E35" i="5"/>
  <c r="E40" i="5"/>
  <c r="E39" i="5"/>
  <c r="E28" i="5"/>
  <c r="E34" i="5"/>
  <c r="E31" i="5"/>
  <c r="E33" i="5"/>
  <c r="E13" i="5"/>
  <c r="E36" i="5"/>
  <c r="J14" i="2" l="1"/>
  <c r="J13" i="2"/>
  <c r="Y47" i="5" s="1"/>
  <c r="AI46" i="5"/>
  <c r="AI45" i="5"/>
  <c r="AI44" i="5"/>
  <c r="J11" i="2"/>
  <c r="J12" i="2"/>
  <c r="Y51" i="5" s="1"/>
  <c r="AB51" i="5" s="1"/>
  <c r="AI42" i="5"/>
  <c r="AI14" i="5"/>
  <c r="AI18" i="5"/>
  <c r="AI16" i="5"/>
  <c r="AI19" i="5"/>
  <c r="AI9" i="5"/>
  <c r="AI17" i="5"/>
  <c r="AI24" i="5"/>
  <c r="AI15" i="5"/>
  <c r="AI26" i="5"/>
  <c r="AI8" i="5"/>
  <c r="AI29" i="5"/>
  <c r="AI23" i="5"/>
  <c r="AI21" i="5"/>
  <c r="AI25" i="5"/>
  <c r="AI11" i="5"/>
  <c r="AI4" i="5"/>
  <c r="AI30" i="5"/>
  <c r="AI20" i="5"/>
  <c r="AI10" i="5"/>
  <c r="AI22" i="5"/>
  <c r="AI3" i="5"/>
  <c r="AI6" i="5"/>
  <c r="AI27" i="5"/>
  <c r="AI12" i="5"/>
  <c r="AI5" i="5"/>
  <c r="AI2" i="5"/>
  <c r="AI7" i="5"/>
  <c r="AI37" i="5"/>
  <c r="AI32" i="5"/>
  <c r="AI38" i="5"/>
  <c r="AI35" i="5"/>
  <c r="AI40" i="5"/>
  <c r="AI39" i="5"/>
  <c r="AI28" i="5"/>
  <c r="AI34" i="5"/>
  <c r="AI31" i="5"/>
  <c r="AI33" i="5"/>
  <c r="AI13" i="5"/>
  <c r="AI36" i="5"/>
  <c r="J9" i="2"/>
  <c r="Y33" i="5" s="1"/>
  <c r="J10" i="2"/>
  <c r="Y39" i="5" s="1"/>
  <c r="F4" i="7"/>
  <c r="J8" i="2"/>
  <c r="Y29" i="5" s="1"/>
  <c r="AA29" i="5" s="1"/>
  <c r="Z47" i="5" l="1"/>
  <c r="AF47" i="5"/>
  <c r="AC47" i="5"/>
  <c r="AG47" i="5"/>
  <c r="AD47" i="5"/>
  <c r="AE47" i="5"/>
  <c r="AB47" i="5"/>
  <c r="AA47" i="5"/>
  <c r="Y44" i="5"/>
  <c r="AB44" i="5" s="1"/>
  <c r="Y49" i="5"/>
  <c r="Z49" i="5" s="1"/>
  <c r="Y52" i="5"/>
  <c r="Y48" i="5"/>
  <c r="Z48" i="5" s="1"/>
  <c r="Y50" i="5"/>
  <c r="Y45" i="5"/>
  <c r="AB45" i="5" s="1"/>
  <c r="AD51" i="5"/>
  <c r="AG51" i="5"/>
  <c r="AA51" i="5"/>
  <c r="AF51" i="5"/>
  <c r="AE51" i="5"/>
  <c r="Z51" i="5"/>
  <c r="AC51" i="5"/>
  <c r="Y46" i="5"/>
  <c r="AB46" i="5" s="1"/>
  <c r="Y32" i="5"/>
  <c r="AB32" i="5" s="1"/>
  <c r="Y31" i="5"/>
  <c r="Z31" i="5" s="1"/>
  <c r="Y38" i="5"/>
  <c r="AB38" i="5" s="1"/>
  <c r="Z39" i="5"/>
  <c r="AA39" i="5"/>
  <c r="AB39" i="5"/>
  <c r="AC39" i="5"/>
  <c r="AD39" i="5"/>
  <c r="AE39" i="5"/>
  <c r="AF39" i="5"/>
  <c r="AG39" i="5"/>
  <c r="Y40" i="5"/>
  <c r="Y37" i="5"/>
  <c r="AB37" i="5" s="1"/>
  <c r="Y36" i="5"/>
  <c r="AB36" i="5" s="1"/>
  <c r="Y34" i="5"/>
  <c r="Z34" i="5" s="1"/>
  <c r="Y35" i="5"/>
  <c r="AD35" i="5" s="1"/>
  <c r="AB33" i="5"/>
  <c r="AC33" i="5"/>
  <c r="AD33" i="5"/>
  <c r="Z33" i="5"/>
  <c r="AA33" i="5"/>
  <c r="AG33" i="5"/>
  <c r="AE33" i="5"/>
  <c r="AF33" i="5"/>
  <c r="AD32" i="5"/>
  <c r="Y30" i="5"/>
  <c r="Z30" i="5" s="1"/>
  <c r="Z29" i="5"/>
  <c r="AD29" i="5"/>
  <c r="AG29" i="5"/>
  <c r="AC29" i="5"/>
  <c r="AB29" i="5"/>
  <c r="AF29" i="5"/>
  <c r="AE29" i="5"/>
  <c r="F20" i="7"/>
  <c r="F3" i="7"/>
  <c r="F19" i="7"/>
  <c r="F17" i="7"/>
  <c r="F15" i="7"/>
  <c r="F12" i="7"/>
  <c r="F6" i="7"/>
  <c r="F7" i="7"/>
  <c r="F16" i="7"/>
  <c r="F9" i="7"/>
  <c r="F14" i="7"/>
  <c r="F11" i="7"/>
  <c r="F8" i="7"/>
  <c r="F5" i="7"/>
  <c r="F10" i="7"/>
  <c r="J7" i="2"/>
  <c r="W4" i="7" s="1"/>
  <c r="AD4" i="7" s="1"/>
  <c r="F18" i="7"/>
  <c r="J6" i="2"/>
  <c r="W13" i="7" s="1"/>
  <c r="L97" i="1"/>
  <c r="L98" i="1"/>
  <c r="L99" i="1"/>
  <c r="M99" i="1"/>
  <c r="F100" i="1"/>
  <c r="H100" i="1"/>
  <c r="L100" i="1"/>
  <c r="L101" i="1"/>
  <c r="L102" i="1"/>
  <c r="L103" i="1"/>
  <c r="L104" i="1"/>
  <c r="L105" i="1"/>
  <c r="J5" i="2"/>
  <c r="Y22" i="5" s="1"/>
  <c r="Z22" i="5" s="1"/>
  <c r="J4" i="2"/>
  <c r="Y20" i="5" s="1"/>
  <c r="AC20" i="5" s="1"/>
  <c r="J3" i="2"/>
  <c r="Y53" i="5" s="1"/>
  <c r="G77" i="1"/>
  <c r="F77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Y75" i="1"/>
  <c r="G76" i="1"/>
  <c r="G75" i="1"/>
  <c r="E55" i="1"/>
  <c r="E54" i="1"/>
  <c r="G74" i="1"/>
  <c r="G73" i="1"/>
  <c r="G71" i="1"/>
  <c r="G70" i="1"/>
  <c r="G72" i="1"/>
  <c r="G68" i="1"/>
  <c r="G69" i="1"/>
  <c r="G67" i="1"/>
  <c r="G66" i="1"/>
  <c r="Y66" i="1"/>
  <c r="Z66" i="1" s="1"/>
  <c r="G65" i="1"/>
  <c r="G64" i="1"/>
  <c r="Y60" i="1"/>
  <c r="Z60" i="1" s="1"/>
  <c r="E53" i="1"/>
  <c r="E52" i="1"/>
  <c r="G52" i="1"/>
  <c r="Z52" i="1"/>
  <c r="AA52" i="1" s="1"/>
  <c r="E51" i="1"/>
  <c r="E50" i="1"/>
  <c r="E49" i="1"/>
  <c r="E48" i="1"/>
  <c r="E47" i="1"/>
  <c r="G47" i="1"/>
  <c r="E46" i="1"/>
  <c r="E45" i="1"/>
  <c r="E40" i="1"/>
  <c r="G40" i="1"/>
  <c r="E39" i="1"/>
  <c r="G39" i="1"/>
  <c r="E38" i="1"/>
  <c r="E36" i="1"/>
  <c r="G36" i="1"/>
  <c r="G37" i="1"/>
  <c r="E37" i="1"/>
  <c r="E35" i="1"/>
  <c r="G35" i="1"/>
  <c r="E34" i="1"/>
  <c r="E33" i="1"/>
  <c r="G33" i="1"/>
  <c r="E30" i="1"/>
  <c r="E32" i="1"/>
  <c r="E31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G61" i="1"/>
  <c r="G62" i="1"/>
  <c r="G63" i="1"/>
  <c r="G60" i="1"/>
  <c r="I84" i="1"/>
  <c r="H86" i="1"/>
  <c r="H87" i="1"/>
  <c r="H88" i="1"/>
  <c r="H89" i="1"/>
  <c r="H90" i="1"/>
  <c r="H91" i="1"/>
  <c r="H92" i="1"/>
  <c r="H85" i="1"/>
  <c r="C93" i="1"/>
  <c r="D93" i="1"/>
  <c r="E93" i="1"/>
  <c r="G5" i="1"/>
  <c r="G4" i="1"/>
  <c r="AB63" i="1"/>
  <c r="AE78" i="1"/>
  <c r="Y79" i="1"/>
  <c r="F93" i="1"/>
  <c r="AG44" i="5" l="1"/>
  <c r="AA44" i="5"/>
  <c r="AF44" i="5"/>
  <c r="AE44" i="5"/>
  <c r="AC44" i="5"/>
  <c r="Z44" i="5"/>
  <c r="AH47" i="5"/>
  <c r="AD44" i="5"/>
  <c r="Z13" i="7"/>
  <c r="AD13" i="7"/>
  <c r="X13" i="7"/>
  <c r="AC13" i="7"/>
  <c r="AE13" i="7"/>
  <c r="Y13" i="7"/>
  <c r="AA13" i="7"/>
  <c r="AB13" i="7"/>
  <c r="AB53" i="5"/>
  <c r="Z53" i="5"/>
  <c r="AE53" i="5"/>
  <c r="AG53" i="5"/>
  <c r="AC53" i="5"/>
  <c r="AA53" i="5"/>
  <c r="AD53" i="5"/>
  <c r="AF53" i="5"/>
  <c r="AE48" i="5"/>
  <c r="AG48" i="5"/>
  <c r="AD48" i="5"/>
  <c r="AF48" i="5"/>
  <c r="AC48" i="5"/>
  <c r="AB48" i="5"/>
  <c r="AA48" i="5"/>
  <c r="AF45" i="5"/>
  <c r="AE45" i="5"/>
  <c r="Z45" i="5"/>
  <c r="AC45" i="5"/>
  <c r="AD49" i="5"/>
  <c r="AD45" i="5"/>
  <c r="AA45" i="5"/>
  <c r="AG45" i="5"/>
  <c r="AE49" i="5"/>
  <c r="AG49" i="5"/>
  <c r="AF49" i="5"/>
  <c r="AC49" i="5"/>
  <c r="AA49" i="5"/>
  <c r="AB49" i="5"/>
  <c r="Z52" i="5"/>
  <c r="AA52" i="5"/>
  <c r="AD52" i="5"/>
  <c r="AC52" i="5"/>
  <c r="AF52" i="5"/>
  <c r="AB52" i="5"/>
  <c r="AG52" i="5"/>
  <c r="AE52" i="5"/>
  <c r="Z50" i="5"/>
  <c r="AF50" i="5"/>
  <c r="AB50" i="5"/>
  <c r="AD50" i="5"/>
  <c r="AC50" i="5"/>
  <c r="AE50" i="5"/>
  <c r="AA50" i="5"/>
  <c r="AG50" i="5"/>
  <c r="W7" i="7"/>
  <c r="Z7" i="7" s="1"/>
  <c r="W2" i="7"/>
  <c r="Z46" i="5"/>
  <c r="AG46" i="5"/>
  <c r="AE46" i="5"/>
  <c r="AA46" i="5"/>
  <c r="AF46" i="5"/>
  <c r="AC46" i="5"/>
  <c r="AD46" i="5"/>
  <c r="AH51" i="5"/>
  <c r="Z32" i="5"/>
  <c r="AG32" i="5"/>
  <c r="Z38" i="5"/>
  <c r="AG31" i="5"/>
  <c r="AA31" i="5"/>
  <c r="AB31" i="5"/>
  <c r="AF31" i="5"/>
  <c r="AC31" i="5"/>
  <c r="AE32" i="5"/>
  <c r="AE31" i="5"/>
  <c r="AD31" i="5"/>
  <c r="AF32" i="5"/>
  <c r="AC32" i="5"/>
  <c r="AA32" i="5"/>
  <c r="AC38" i="5"/>
  <c r="Y19" i="5"/>
  <c r="AD19" i="5" s="1"/>
  <c r="Y42" i="5"/>
  <c r="AD38" i="5"/>
  <c r="AG38" i="5"/>
  <c r="AA38" i="5"/>
  <c r="AF38" i="5"/>
  <c r="AE38" i="5"/>
  <c r="AA37" i="5"/>
  <c r="Z37" i="5"/>
  <c r="AF37" i="5"/>
  <c r="AD37" i="5"/>
  <c r="AE37" i="5"/>
  <c r="AC37" i="5"/>
  <c r="AG37" i="5"/>
  <c r="AH39" i="5"/>
  <c r="Z40" i="5"/>
  <c r="AA40" i="5"/>
  <c r="AB40" i="5"/>
  <c r="AC40" i="5"/>
  <c r="AD40" i="5"/>
  <c r="AE40" i="5"/>
  <c r="AF40" i="5"/>
  <c r="AG40" i="5"/>
  <c r="AF34" i="5"/>
  <c r="AB34" i="5"/>
  <c r="AG34" i="5"/>
  <c r="AA34" i="5"/>
  <c r="AG36" i="5"/>
  <c r="AA35" i="5"/>
  <c r="AE34" i="5"/>
  <c r="AF35" i="5"/>
  <c r="AE35" i="5"/>
  <c r="AC34" i="5"/>
  <c r="AD34" i="5"/>
  <c r="AA36" i="5"/>
  <c r="Z36" i="5"/>
  <c r="AF36" i="5"/>
  <c r="AE36" i="5"/>
  <c r="Z35" i="5"/>
  <c r="AB35" i="5"/>
  <c r="AC35" i="5"/>
  <c r="AG35" i="5"/>
  <c r="AC36" i="5"/>
  <c r="AD36" i="5"/>
  <c r="AH33" i="5"/>
  <c r="AF30" i="5"/>
  <c r="AD30" i="5"/>
  <c r="AG30" i="5"/>
  <c r="AB30" i="5"/>
  <c r="AA30" i="5"/>
  <c r="AE30" i="5"/>
  <c r="AC30" i="5"/>
  <c r="AE4" i="7"/>
  <c r="W16" i="7"/>
  <c r="X16" i="7" s="1"/>
  <c r="W10" i="7"/>
  <c r="X10" i="7" s="1"/>
  <c r="X4" i="7"/>
  <c r="Z4" i="7"/>
  <c r="Y4" i="7"/>
  <c r="W9" i="7"/>
  <c r="Y9" i="7" s="1"/>
  <c r="W20" i="7"/>
  <c r="X20" i="7" s="1"/>
  <c r="AB4" i="7"/>
  <c r="AA4" i="7"/>
  <c r="W14" i="7"/>
  <c r="X14" i="7" s="1"/>
  <c r="AC4" i="7"/>
  <c r="AH29" i="5"/>
  <c r="W11" i="7"/>
  <c r="X11" i="7" s="1"/>
  <c r="W19" i="7"/>
  <c r="X19" i="7" s="1"/>
  <c r="W8" i="7"/>
  <c r="X8" i="7" s="1"/>
  <c r="W3" i="7"/>
  <c r="X3" i="7" s="1"/>
  <c r="W5" i="7"/>
  <c r="X5" i="7" s="1"/>
  <c r="W18" i="7"/>
  <c r="AB18" i="7" s="1"/>
  <c r="W6" i="7"/>
  <c r="X6" i="7" s="1"/>
  <c r="W12" i="7"/>
  <c r="X12" i="7" s="1"/>
  <c r="W15" i="7"/>
  <c r="X15" i="7" s="1"/>
  <c r="W17" i="7"/>
  <c r="X17" i="7" s="1"/>
  <c r="Y27" i="5"/>
  <c r="AB27" i="5" s="1"/>
  <c r="Y24" i="5"/>
  <c r="AB24" i="5" s="1"/>
  <c r="Y25" i="5"/>
  <c r="AB25" i="5" s="1"/>
  <c r="Y28" i="5"/>
  <c r="AB28" i="5" s="1"/>
  <c r="Y26" i="5"/>
  <c r="AB26" i="5" s="1"/>
  <c r="Y7" i="5"/>
  <c r="Z7" i="5" s="1"/>
  <c r="Y23" i="5"/>
  <c r="Z23" i="5" s="1"/>
  <c r="Y3" i="5"/>
  <c r="AA3" i="5" s="1"/>
  <c r="Y4" i="5"/>
  <c r="Z4" i="5" s="1"/>
  <c r="Y5" i="5"/>
  <c r="AA5" i="5" s="1"/>
  <c r="Y6" i="5"/>
  <c r="AA6" i="5" s="1"/>
  <c r="Y9" i="5"/>
  <c r="Z9" i="5" s="1"/>
  <c r="Y11" i="5"/>
  <c r="AB11" i="5" s="1"/>
  <c r="Y10" i="5"/>
  <c r="AA10" i="5" s="1"/>
  <c r="Y15" i="5"/>
  <c r="Z15" i="5" s="1"/>
  <c r="Y21" i="5"/>
  <c r="AC21" i="5" s="1"/>
  <c r="Y14" i="5"/>
  <c r="Z14" i="5" s="1"/>
  <c r="Y18" i="5"/>
  <c r="Z18" i="5" s="1"/>
  <c r="AA22" i="5"/>
  <c r="AG22" i="5"/>
  <c r="AE22" i="5"/>
  <c r="AD22" i="5"/>
  <c r="AF22" i="5"/>
  <c r="AC22" i="5"/>
  <c r="AB22" i="5"/>
  <c r="Y16" i="5"/>
  <c r="AB16" i="5" s="1"/>
  <c r="J2" i="2"/>
  <c r="Y2" i="5" s="1"/>
  <c r="AA2" i="5" s="1"/>
  <c r="AA20" i="5"/>
  <c r="AG20" i="5"/>
  <c r="AF20" i="5"/>
  <c r="AE20" i="5"/>
  <c r="AD20" i="5"/>
  <c r="AB20" i="5"/>
  <c r="Z20" i="5"/>
  <c r="Y8" i="5"/>
  <c r="Z8" i="5" s="1"/>
  <c r="Y12" i="5"/>
  <c r="Z12" i="5" s="1"/>
  <c r="Y13" i="5"/>
  <c r="Z13" i="5" s="1"/>
  <c r="Y17" i="5"/>
  <c r="Z17" i="5" s="1"/>
  <c r="Y62" i="1"/>
  <c r="Z62" i="1" s="1"/>
  <c r="Z75" i="1"/>
  <c r="AC75" i="1"/>
  <c r="AF75" i="1"/>
  <c r="AG75" i="1"/>
  <c r="Y77" i="1"/>
  <c r="AF77" i="1" s="1"/>
  <c r="AB75" i="1"/>
  <c r="Y76" i="1"/>
  <c r="AB76" i="1" s="1"/>
  <c r="AE75" i="1"/>
  <c r="AA75" i="1"/>
  <c r="AH75" i="1"/>
  <c r="AD75" i="1"/>
  <c r="Z8" i="1"/>
  <c r="AA8" i="1" s="1"/>
  <c r="Z55" i="1"/>
  <c r="AF55" i="1" s="1"/>
  <c r="Z54" i="1"/>
  <c r="AB54" i="1" s="1"/>
  <c r="Z11" i="1"/>
  <c r="AC11" i="1" s="1"/>
  <c r="Z12" i="1"/>
  <c r="AB12" i="1" s="1"/>
  <c r="Z14" i="1"/>
  <c r="AA14" i="1" s="1"/>
  <c r="Z15" i="1"/>
  <c r="AD15" i="1" s="1"/>
  <c r="Z18" i="1"/>
  <c r="AF18" i="1" s="1"/>
  <c r="Z22" i="1"/>
  <c r="AB22" i="1" s="1"/>
  <c r="Z27" i="1"/>
  <c r="AG27" i="1" s="1"/>
  <c r="Z34" i="1"/>
  <c r="AA34" i="1" s="1"/>
  <c r="G26" i="1"/>
  <c r="G55" i="1"/>
  <c r="G54" i="1"/>
  <c r="G53" i="1"/>
  <c r="G46" i="1"/>
  <c r="G45" i="1"/>
  <c r="G34" i="1"/>
  <c r="G8" i="1"/>
  <c r="Z33" i="1"/>
  <c r="AA33" i="1" s="1"/>
  <c r="Z35" i="1"/>
  <c r="AI35" i="1" s="1"/>
  <c r="Z53" i="1"/>
  <c r="AB53" i="1" s="1"/>
  <c r="Y74" i="1"/>
  <c r="Z74" i="1" s="1"/>
  <c r="Y73" i="1"/>
  <c r="Z73" i="1" s="1"/>
  <c r="Y71" i="1"/>
  <c r="AA71" i="1" s="1"/>
  <c r="Y70" i="1"/>
  <c r="AA70" i="1" s="1"/>
  <c r="Y72" i="1"/>
  <c r="AA72" i="1" s="1"/>
  <c r="Y68" i="1"/>
  <c r="AD68" i="1" s="1"/>
  <c r="Y69" i="1"/>
  <c r="Z69" i="1" s="1"/>
  <c r="Y67" i="1"/>
  <c r="AE67" i="1" s="1"/>
  <c r="AH66" i="1"/>
  <c r="AF66" i="1"/>
  <c r="AB66" i="1"/>
  <c r="Z38" i="1"/>
  <c r="AF38" i="1" s="1"/>
  <c r="Z45" i="1"/>
  <c r="AE45" i="1" s="1"/>
  <c r="Y64" i="1"/>
  <c r="AE64" i="1" s="1"/>
  <c r="Z32" i="1"/>
  <c r="AB32" i="1" s="1"/>
  <c r="Z31" i="1"/>
  <c r="AC31" i="1" s="1"/>
  <c r="Z48" i="1"/>
  <c r="AE48" i="1" s="1"/>
  <c r="Y65" i="1"/>
  <c r="Z65" i="1" s="1"/>
  <c r="Z26" i="1"/>
  <c r="AA26" i="1" s="1"/>
  <c r="AE66" i="1"/>
  <c r="Z7" i="1"/>
  <c r="AG7" i="1" s="1"/>
  <c r="Y61" i="1"/>
  <c r="Z61" i="1" s="1"/>
  <c r="AG66" i="1"/>
  <c r="AD66" i="1"/>
  <c r="AC66" i="1"/>
  <c r="AA66" i="1"/>
  <c r="Z6" i="1"/>
  <c r="AA6" i="1" s="1"/>
  <c r="G48" i="1"/>
  <c r="G9" i="1"/>
  <c r="Z25" i="1"/>
  <c r="AI25" i="1" s="1"/>
  <c r="Z5" i="1"/>
  <c r="AI5" i="1" s="1"/>
  <c r="Z24" i="1"/>
  <c r="AD24" i="1" s="1"/>
  <c r="Z4" i="1"/>
  <c r="AB4" i="1" s="1"/>
  <c r="Z49" i="1"/>
  <c r="AA49" i="1" s="1"/>
  <c r="G10" i="1"/>
  <c r="Z23" i="1"/>
  <c r="AA23" i="1" s="1"/>
  <c r="G38" i="1"/>
  <c r="G49" i="1"/>
  <c r="G11" i="1"/>
  <c r="Z21" i="1"/>
  <c r="AC21" i="1" s="1"/>
  <c r="Z50" i="1"/>
  <c r="AF50" i="1" s="1"/>
  <c r="Z20" i="1"/>
  <c r="AD20" i="1" s="1"/>
  <c r="G50" i="1"/>
  <c r="G30" i="1"/>
  <c r="Z19" i="1"/>
  <c r="AB19" i="1" s="1"/>
  <c r="Z51" i="1"/>
  <c r="AA51" i="1" s="1"/>
  <c r="Z37" i="1"/>
  <c r="AD37" i="1" s="1"/>
  <c r="Z17" i="1"/>
  <c r="AB17" i="1" s="1"/>
  <c r="G51" i="1"/>
  <c r="Z36" i="1"/>
  <c r="AH36" i="1" s="1"/>
  <c r="Z16" i="1"/>
  <c r="AH16" i="1" s="1"/>
  <c r="Z13" i="1"/>
  <c r="AA13" i="1" s="1"/>
  <c r="Z46" i="1"/>
  <c r="AA46" i="1" s="1"/>
  <c r="G15" i="1"/>
  <c r="Z30" i="1"/>
  <c r="AA30" i="1" s="1"/>
  <c r="Z10" i="1"/>
  <c r="AA10" i="1" s="1"/>
  <c r="G28" i="1"/>
  <c r="Z29" i="1"/>
  <c r="AE29" i="1" s="1"/>
  <c r="Z9" i="1"/>
  <c r="AE9" i="1" s="1"/>
  <c r="G29" i="1"/>
  <c r="Z28" i="1"/>
  <c r="AC28" i="1" s="1"/>
  <c r="AI52" i="1"/>
  <c r="AH52" i="1"/>
  <c r="AG52" i="1"/>
  <c r="AB52" i="1"/>
  <c r="AF52" i="1"/>
  <c r="AE52" i="1"/>
  <c r="AD52" i="1"/>
  <c r="AC52" i="1"/>
  <c r="AI18" i="1"/>
  <c r="AH18" i="1"/>
  <c r="AE18" i="1"/>
  <c r="AB15" i="1"/>
  <c r="AC15" i="1"/>
  <c r="AH34" i="1"/>
  <c r="AH14" i="1"/>
  <c r="AG34" i="1"/>
  <c r="AF34" i="1"/>
  <c r="AF14" i="1"/>
  <c r="AD14" i="1"/>
  <c r="AB14" i="1"/>
  <c r="AG22" i="1"/>
  <c r="AI15" i="1"/>
  <c r="AH15" i="1"/>
  <c r="AG15" i="1"/>
  <c r="AF15" i="1"/>
  <c r="AF22" i="1"/>
  <c r="G12" i="1"/>
  <c r="G14" i="1"/>
  <c r="G17" i="1"/>
  <c r="G19" i="1"/>
  <c r="G21" i="1"/>
  <c r="G23" i="1"/>
  <c r="G25" i="1"/>
  <c r="G27" i="1"/>
  <c r="G13" i="1"/>
  <c r="G16" i="1"/>
  <c r="G18" i="1"/>
  <c r="G20" i="1"/>
  <c r="G22" i="1"/>
  <c r="G24" i="1"/>
  <c r="I89" i="1"/>
  <c r="I85" i="1"/>
  <c r="G6" i="1"/>
  <c r="G7" i="1"/>
  <c r="H93" i="1"/>
  <c r="I87" i="1"/>
  <c r="D95" i="1"/>
  <c r="AC60" i="1"/>
  <c r="AG60" i="1"/>
  <c r="AH60" i="1"/>
  <c r="AD78" i="1"/>
  <c r="AC78" i="1"/>
  <c r="AB78" i="1"/>
  <c r="AA78" i="1"/>
  <c r="Z78" i="1"/>
  <c r="AA68" i="1"/>
  <c r="Z68" i="1"/>
  <c r="AF63" i="1"/>
  <c r="AA63" i="1"/>
  <c r="AA60" i="1"/>
  <c r="Z63" i="1"/>
  <c r="AB60" i="1"/>
  <c r="AH62" i="1"/>
  <c r="AD60" i="1"/>
  <c r="AG62" i="1"/>
  <c r="AE60" i="1"/>
  <c r="AF62" i="1"/>
  <c r="AF60" i="1"/>
  <c r="AD62" i="1"/>
  <c r="AC62" i="1"/>
  <c r="AG79" i="1"/>
  <c r="AB62" i="1"/>
  <c r="AF79" i="1"/>
  <c r="AA62" i="1"/>
  <c r="Y78" i="1"/>
  <c r="AE79" i="1"/>
  <c r="AH63" i="1"/>
  <c r="AD79" i="1"/>
  <c r="AC79" i="1"/>
  <c r="AB79" i="1"/>
  <c r="AA79" i="1"/>
  <c r="AG63" i="1"/>
  <c r="Z79" i="1"/>
  <c r="AE63" i="1"/>
  <c r="AG78" i="1"/>
  <c r="AD63" i="1"/>
  <c r="AF78" i="1"/>
  <c r="AE68" i="1"/>
  <c r="AC63" i="1"/>
  <c r="AG68" i="1"/>
  <c r="AH44" i="5" l="1"/>
  <c r="AH53" i="5"/>
  <c r="AH48" i="5"/>
  <c r="AB7" i="7"/>
  <c r="AD7" i="7"/>
  <c r="AH45" i="5"/>
  <c r="AH49" i="5"/>
  <c r="Y7" i="7"/>
  <c r="AA7" i="7"/>
  <c r="AE7" i="7"/>
  <c r="AC7" i="7"/>
  <c r="X7" i="7"/>
  <c r="AH52" i="5"/>
  <c r="AE2" i="7"/>
  <c r="X2" i="7"/>
  <c r="Z2" i="7"/>
  <c r="AB2" i="7"/>
  <c r="AD2" i="7"/>
  <c r="Y2" i="7"/>
  <c r="AA2" i="7"/>
  <c r="AC2" i="7"/>
  <c r="AH50" i="5"/>
  <c r="AH46" i="5"/>
  <c r="AF19" i="5"/>
  <c r="AB19" i="5"/>
  <c r="AE19" i="5"/>
  <c r="AA19" i="5"/>
  <c r="AH32" i="5"/>
  <c r="AG19" i="5"/>
  <c r="Z19" i="5"/>
  <c r="AH31" i="5"/>
  <c r="AC19" i="5"/>
  <c r="AH38" i="5"/>
  <c r="AB42" i="5"/>
  <c r="AG42" i="5"/>
  <c r="AD42" i="5"/>
  <c r="AF42" i="5"/>
  <c r="AA42" i="5"/>
  <c r="Z42" i="5"/>
  <c r="AC42" i="5"/>
  <c r="AE42" i="5"/>
  <c r="AH37" i="5"/>
  <c r="Y10" i="7"/>
  <c r="AH40" i="5"/>
  <c r="AH34" i="5"/>
  <c r="AH35" i="5"/>
  <c r="AC14" i="7"/>
  <c r="AH36" i="5"/>
  <c r="Z10" i="7"/>
  <c r="AE10" i="7"/>
  <c r="AC10" i="7"/>
  <c r="Z9" i="7"/>
  <c r="AA9" i="7"/>
  <c r="AC9" i="7"/>
  <c r="Y14" i="7"/>
  <c r="AE9" i="7"/>
  <c r="AB16" i="7"/>
  <c r="AE20" i="7"/>
  <c r="AE16" i="7"/>
  <c r="AH30" i="5"/>
  <c r="Y20" i="7"/>
  <c r="AC6" i="7"/>
  <c r="AB9" i="7"/>
  <c r="AD9" i="7"/>
  <c r="X9" i="7"/>
  <c r="AA14" i="7"/>
  <c r="AA20" i="7"/>
  <c r="AB10" i="7"/>
  <c r="AA10" i="7"/>
  <c r="AC20" i="7"/>
  <c r="Y16" i="7"/>
  <c r="Z16" i="7"/>
  <c r="AA16" i="7"/>
  <c r="AD16" i="7"/>
  <c r="AC16" i="7"/>
  <c r="AB14" i="7"/>
  <c r="AB20" i="7"/>
  <c r="AD14" i="7"/>
  <c r="AD10" i="7"/>
  <c r="AE14" i="7"/>
  <c r="Z14" i="7"/>
  <c r="Z20" i="7"/>
  <c r="AD20" i="7"/>
  <c r="Y3" i="7"/>
  <c r="AA3" i="7"/>
  <c r="Y8" i="7"/>
  <c r="AC8" i="7"/>
  <c r="AA8" i="7"/>
  <c r="AD8" i="7"/>
  <c r="AB8" i="7"/>
  <c r="Z8" i="7"/>
  <c r="AE8" i="7"/>
  <c r="Y11" i="7"/>
  <c r="AA11" i="7"/>
  <c r="Z5" i="7"/>
  <c r="AC19" i="7"/>
  <c r="AB19" i="7"/>
  <c r="Z19" i="7"/>
  <c r="Y19" i="7"/>
  <c r="AD19" i="7"/>
  <c r="AA19" i="7"/>
  <c r="AC3" i="7"/>
  <c r="Z3" i="7"/>
  <c r="AE3" i="7"/>
  <c r="AB3" i="7"/>
  <c r="AD3" i="7"/>
  <c r="AE19" i="7"/>
  <c r="AE18" i="5"/>
  <c r="AC11" i="7"/>
  <c r="AE11" i="7"/>
  <c r="AB5" i="7"/>
  <c r="AD5" i="7"/>
  <c r="Z11" i="7"/>
  <c r="Y5" i="7"/>
  <c r="AA5" i="7"/>
  <c r="AB11" i="7"/>
  <c r="AD11" i="7"/>
  <c r="AC5" i="7"/>
  <c r="AE5" i="7"/>
  <c r="AD21" i="5"/>
  <c r="AG27" i="5"/>
  <c r="AA27" i="5"/>
  <c r="AD18" i="7"/>
  <c r="AA18" i="7"/>
  <c r="Z18" i="7"/>
  <c r="AC18" i="7"/>
  <c r="Z17" i="7"/>
  <c r="AE18" i="7"/>
  <c r="X18" i="7"/>
  <c r="Y18" i="7"/>
  <c r="AC17" i="7"/>
  <c r="AB6" i="7"/>
  <c r="AA6" i="7"/>
  <c r="Z6" i="7"/>
  <c r="AE6" i="7"/>
  <c r="AB17" i="7"/>
  <c r="AD6" i="7"/>
  <c r="Y6" i="7"/>
  <c r="Y15" i="7"/>
  <c r="AD15" i="7"/>
  <c r="AA15" i="7"/>
  <c r="AC15" i="7"/>
  <c r="AE15" i="7"/>
  <c r="Z15" i="7"/>
  <c r="AB15" i="7"/>
  <c r="AB12" i="7"/>
  <c r="Z12" i="7"/>
  <c r="AA12" i="7"/>
  <c r="AE12" i="7"/>
  <c r="Y12" i="7"/>
  <c r="AD12" i="7"/>
  <c r="AC12" i="7"/>
  <c r="AC27" i="5"/>
  <c r="AD27" i="5"/>
  <c r="Y17" i="7"/>
  <c r="AA17" i="7"/>
  <c r="Z27" i="5"/>
  <c r="AF27" i="5"/>
  <c r="AD17" i="7"/>
  <c r="AE27" i="5"/>
  <c r="AE17" i="7"/>
  <c r="AG9" i="5"/>
  <c r="AF24" i="5"/>
  <c r="AC26" i="5"/>
  <c r="AD24" i="5"/>
  <c r="Z24" i="5"/>
  <c r="AE24" i="5"/>
  <c r="AG24" i="5"/>
  <c r="AA24" i="5"/>
  <c r="AC24" i="5"/>
  <c r="AF25" i="5"/>
  <c r="Z25" i="5"/>
  <c r="AA25" i="5"/>
  <c r="AG25" i="5"/>
  <c r="AD25" i="5"/>
  <c r="AE25" i="5"/>
  <c r="AC25" i="5"/>
  <c r="AC28" i="5"/>
  <c r="AE28" i="5"/>
  <c r="AF28" i="5"/>
  <c r="Z28" i="5"/>
  <c r="AA28" i="5"/>
  <c r="Z3" i="5"/>
  <c r="AD28" i="5"/>
  <c r="AG28" i="5"/>
  <c r="AC5" i="5"/>
  <c r="AF3" i="5"/>
  <c r="AD9" i="5"/>
  <c r="AD26" i="5"/>
  <c r="AD3" i="5"/>
  <c r="AE26" i="5"/>
  <c r="AE3" i="5"/>
  <c r="AC9" i="5"/>
  <c r="AF26" i="5"/>
  <c r="AG26" i="5"/>
  <c r="AB3" i="5"/>
  <c r="AE9" i="5"/>
  <c r="AG3" i="5"/>
  <c r="AA9" i="5"/>
  <c r="AF9" i="5"/>
  <c r="Z26" i="5"/>
  <c r="AA26" i="5"/>
  <c r="AF7" i="5"/>
  <c r="AG14" i="5"/>
  <c r="AF5" i="5"/>
  <c r="AB10" i="5"/>
  <c r="AB21" i="5"/>
  <c r="AE4" i="5"/>
  <c r="AF4" i="5"/>
  <c r="AB7" i="5"/>
  <c r="AD7" i="5"/>
  <c r="AB4" i="5"/>
  <c r="AC7" i="5"/>
  <c r="AE7" i="5"/>
  <c r="AF14" i="5"/>
  <c r="AA7" i="5"/>
  <c r="AG7" i="5"/>
  <c r="AB14" i="5"/>
  <c r="AF11" i="5"/>
  <c r="AC14" i="5"/>
  <c r="AF6" i="5"/>
  <c r="Z6" i="5"/>
  <c r="AB6" i="5"/>
  <c r="AF15" i="5"/>
  <c r="AD6" i="5"/>
  <c r="AC23" i="5"/>
  <c r="AA23" i="5"/>
  <c r="AB23" i="5"/>
  <c r="AC4" i="5"/>
  <c r="AD5" i="5"/>
  <c r="AG5" i="5"/>
  <c r="AE10" i="5"/>
  <c r="AE11" i="5"/>
  <c r="AD14" i="5"/>
  <c r="AA4" i="5"/>
  <c r="AD4" i="5"/>
  <c r="AB5" i="5"/>
  <c r="AE5" i="5"/>
  <c r="Z5" i="5"/>
  <c r="AC10" i="5"/>
  <c r="AA14" i="5"/>
  <c r="AE14" i="5"/>
  <c r="AA15" i="5"/>
  <c r="AC3" i="5"/>
  <c r="AG15" i="5"/>
  <c r="AC18" i="5"/>
  <c r="AE6" i="5"/>
  <c r="AD15" i="5"/>
  <c r="AF10" i="5"/>
  <c r="AB2" i="5"/>
  <c r="AG23" i="5"/>
  <c r="AG6" i="5"/>
  <c r="AG10" i="5"/>
  <c r="AD10" i="5"/>
  <c r="AF23" i="5"/>
  <c r="AC11" i="5"/>
  <c r="AD23" i="5"/>
  <c r="AE23" i="5"/>
  <c r="AG11" i="5"/>
  <c r="AB15" i="5"/>
  <c r="Z10" i="5"/>
  <c r="AG4" i="5"/>
  <c r="Z11" i="5"/>
  <c r="AA11" i="5"/>
  <c r="AC6" i="5"/>
  <c r="AB9" i="5"/>
  <c r="AA8" i="5"/>
  <c r="AB18" i="5"/>
  <c r="AG21" i="5"/>
  <c r="AA18" i="5"/>
  <c r="AD18" i="5"/>
  <c r="AD11" i="5"/>
  <c r="AE15" i="5"/>
  <c r="AD16" i="5"/>
  <c r="AE21" i="5"/>
  <c r="AF21" i="5"/>
  <c r="Z21" i="5"/>
  <c r="AC15" i="5"/>
  <c r="AA21" i="5"/>
  <c r="AG12" i="5"/>
  <c r="AF68" i="1"/>
  <c r="AG18" i="1"/>
  <c r="AC16" i="5"/>
  <c r="AH22" i="5"/>
  <c r="AA12" i="1"/>
  <c r="AE16" i="5"/>
  <c r="AC12" i="1"/>
  <c r="AH68" i="1"/>
  <c r="AC22" i="1"/>
  <c r="AF16" i="5"/>
  <c r="AD12" i="1"/>
  <c r="AF11" i="1"/>
  <c r="AE22" i="1"/>
  <c r="AE12" i="1"/>
  <c r="AG2" i="5"/>
  <c r="AG16" i="5"/>
  <c r="AE2" i="5"/>
  <c r="AC18" i="1"/>
  <c r="AJ18" i="1" s="1"/>
  <c r="AF2" i="5"/>
  <c r="AF18" i="5"/>
  <c r="AG69" i="1"/>
  <c r="AC68" i="1"/>
  <c r="AB27" i="1"/>
  <c r="AG18" i="5"/>
  <c r="AD2" i="5"/>
  <c r="Z2" i="5"/>
  <c r="Z16" i="5"/>
  <c r="AB12" i="5"/>
  <c r="AE69" i="1"/>
  <c r="AG8" i="1"/>
  <c r="AG12" i="1"/>
  <c r="AF12" i="1"/>
  <c r="AI12" i="1"/>
  <c r="AH12" i="1"/>
  <c r="AA22" i="1"/>
  <c r="AA15" i="1"/>
  <c r="AD22" i="1"/>
  <c r="AA16" i="5"/>
  <c r="AI33" i="1"/>
  <c r="AE15" i="1"/>
  <c r="AF33" i="1"/>
  <c r="AD33" i="1"/>
  <c r="AH71" i="1"/>
  <c r="AH11" i="1"/>
  <c r="AC2" i="5"/>
  <c r="AG33" i="1"/>
  <c r="AH33" i="1"/>
  <c r="AE33" i="1"/>
  <c r="AB11" i="1"/>
  <c r="AG11" i="1"/>
  <c r="AB34" i="1"/>
  <c r="AB26" i="1"/>
  <c r="AD34" i="1"/>
  <c r="AE34" i="1"/>
  <c r="AE11" i="1"/>
  <c r="AB77" i="1"/>
  <c r="AC8" i="5"/>
  <c r="AD12" i="5"/>
  <c r="AE12" i="5"/>
  <c r="AF12" i="5"/>
  <c r="AG8" i="5"/>
  <c r="AE8" i="5"/>
  <c r="AF8" i="5"/>
  <c r="AB13" i="5"/>
  <c r="AE13" i="5"/>
  <c r="AC12" i="5"/>
  <c r="AH20" i="5"/>
  <c r="AA17" i="5"/>
  <c r="AD8" i="5"/>
  <c r="AC13" i="5"/>
  <c r="AF13" i="5"/>
  <c r="AF17" i="5"/>
  <c r="AD17" i="5"/>
  <c r="AB17" i="5"/>
  <c r="AB8" i="5"/>
  <c r="AD13" i="5"/>
  <c r="AA13" i="5"/>
  <c r="AG17" i="5"/>
  <c r="AA12" i="5"/>
  <c r="AG13" i="5"/>
  <c r="AC17" i="5"/>
  <c r="AE17" i="5"/>
  <c r="AH22" i="1"/>
  <c r="AI22" i="1"/>
  <c r="AJ22" i="1" s="1"/>
  <c r="AB71" i="1"/>
  <c r="AB73" i="1"/>
  <c r="AC33" i="1"/>
  <c r="AB33" i="1"/>
  <c r="AA77" i="1"/>
  <c r="AC34" i="1"/>
  <c r="AD77" i="1"/>
  <c r="AE77" i="1"/>
  <c r="AD18" i="1"/>
  <c r="Z67" i="1"/>
  <c r="AA67" i="1"/>
  <c r="AC70" i="1"/>
  <c r="AG77" i="1"/>
  <c r="Z72" i="1"/>
  <c r="AB72" i="1"/>
  <c r="AB68" i="1"/>
  <c r="AC72" i="1"/>
  <c r="AD72" i="1"/>
  <c r="AD71" i="1"/>
  <c r="AB8" i="1"/>
  <c r="AE53" i="1"/>
  <c r="AH8" i="1"/>
  <c r="AI8" i="1"/>
  <c r="AF53" i="1"/>
  <c r="AD73" i="1"/>
  <c r="AC8" i="1"/>
  <c r="AD74" i="1"/>
  <c r="AG54" i="1"/>
  <c r="AH54" i="1"/>
  <c r="AD8" i="1"/>
  <c r="AE8" i="1"/>
  <c r="AA35" i="1"/>
  <c r="AF8" i="1"/>
  <c r="AF72" i="1"/>
  <c r="AE72" i="1"/>
  <c r="AG72" i="1"/>
  <c r="AH72" i="1"/>
  <c r="AG73" i="1"/>
  <c r="AH73" i="1"/>
  <c r="AC74" i="1"/>
  <c r="AE74" i="1"/>
  <c r="AH74" i="1"/>
  <c r="AE73" i="1"/>
  <c r="AF69" i="1"/>
  <c r="AF70" i="1"/>
  <c r="AE62" i="1"/>
  <c r="Z70" i="1"/>
  <c r="AC55" i="1"/>
  <c r="AH55" i="1"/>
  <c r="AC35" i="1"/>
  <c r="AI27" i="1"/>
  <c r="AE71" i="1"/>
  <c r="AE55" i="1"/>
  <c r="AG55" i="1"/>
  <c r="AB69" i="1"/>
  <c r="AE14" i="1"/>
  <c r="AF35" i="1"/>
  <c r="Z71" i="1"/>
  <c r="AF71" i="1"/>
  <c r="AI55" i="1"/>
  <c r="AH27" i="1"/>
  <c r="AA69" i="1"/>
  <c r="AD69" i="1"/>
  <c r="AC27" i="1"/>
  <c r="AC14" i="1"/>
  <c r="AG14" i="1"/>
  <c r="AI14" i="1"/>
  <c r="AB35" i="1"/>
  <c r="AH35" i="1"/>
  <c r="AC69" i="1"/>
  <c r="AH69" i="1"/>
  <c r="AA27" i="1"/>
  <c r="AD27" i="1"/>
  <c r="AD35" i="1"/>
  <c r="AE35" i="1"/>
  <c r="AE27" i="1"/>
  <c r="AG35" i="1"/>
  <c r="AF27" i="1"/>
  <c r="AC71" i="1"/>
  <c r="AG71" i="1"/>
  <c r="AC73" i="1"/>
  <c r="AA74" i="1"/>
  <c r="AG74" i="1"/>
  <c r="AD55" i="1"/>
  <c r="AI34" i="1"/>
  <c r="AJ34" i="1" s="1"/>
  <c r="AA53" i="1"/>
  <c r="AG53" i="1"/>
  <c r="AF67" i="1"/>
  <c r="AC67" i="1"/>
  <c r="AB70" i="1"/>
  <c r="AG70" i="1"/>
  <c r="AA73" i="1"/>
  <c r="AF73" i="1"/>
  <c r="AB74" i="1"/>
  <c r="AF74" i="1"/>
  <c r="AC54" i="1"/>
  <c r="AA54" i="1"/>
  <c r="AH77" i="1"/>
  <c r="AC53" i="1"/>
  <c r="AH53" i="1"/>
  <c r="AG67" i="1"/>
  <c r="AD67" i="1"/>
  <c r="AD70" i="1"/>
  <c r="AH70" i="1"/>
  <c r="AD54" i="1"/>
  <c r="AI54" i="1"/>
  <c r="AD53" i="1"/>
  <c r="AI53" i="1"/>
  <c r="AH67" i="1"/>
  <c r="AB67" i="1"/>
  <c r="AE70" i="1"/>
  <c r="AE54" i="1"/>
  <c r="AF54" i="1"/>
  <c r="Z76" i="1"/>
  <c r="AE76" i="1"/>
  <c r="AA76" i="1"/>
  <c r="AF76" i="1"/>
  <c r="AC76" i="1"/>
  <c r="AG76" i="1"/>
  <c r="AD76" i="1"/>
  <c r="AH76" i="1"/>
  <c r="Z77" i="1"/>
  <c r="AC77" i="1"/>
  <c r="AD11" i="1"/>
  <c r="AI11" i="1"/>
  <c r="AB18" i="1"/>
  <c r="AA11" i="1"/>
  <c r="AA18" i="1"/>
  <c r="AA55" i="1"/>
  <c r="AB55" i="1"/>
  <c r="AB7" i="1"/>
  <c r="AH7" i="1"/>
  <c r="AA7" i="1"/>
  <c r="AC7" i="1"/>
  <c r="AE32" i="1"/>
  <c r="AH26" i="1"/>
  <c r="AD26" i="1"/>
  <c r="AE26" i="1"/>
  <c r="AF26" i="1"/>
  <c r="AG26" i="1"/>
  <c r="AI26" i="1"/>
  <c r="AD31" i="1"/>
  <c r="AE30" i="1"/>
  <c r="AI19" i="1"/>
  <c r="AB23" i="1"/>
  <c r="AG61" i="1"/>
  <c r="AD65" i="1"/>
  <c r="AC32" i="1"/>
  <c r="AF32" i="1"/>
  <c r="AF48" i="1"/>
  <c r="AF45" i="1"/>
  <c r="AB38" i="1"/>
  <c r="AA61" i="1"/>
  <c r="AC61" i="1"/>
  <c r="AD61" i="1"/>
  <c r="AB61" i="1"/>
  <c r="AE61" i="1"/>
  <c r="AF61" i="1"/>
  <c r="AH61" i="1"/>
  <c r="AI7" i="1"/>
  <c r="AD45" i="1"/>
  <c r="AF7" i="1"/>
  <c r="AE7" i="1"/>
  <c r="AE13" i="1"/>
  <c r="AI45" i="1"/>
  <c r="AF13" i="1"/>
  <c r="AH31" i="1"/>
  <c r="AA31" i="1"/>
  <c r="AC23" i="1"/>
  <c r="AD13" i="1"/>
  <c r="AB45" i="1"/>
  <c r="AA32" i="1"/>
  <c r="AE38" i="1"/>
  <c r="AI32" i="1"/>
  <c r="AH32" i="1"/>
  <c r="AB31" i="1"/>
  <c r="AD32" i="1"/>
  <c r="AI38" i="1"/>
  <c r="AI31" i="1"/>
  <c r="AC38" i="1"/>
  <c r="AB48" i="1"/>
  <c r="AC4" i="1"/>
  <c r="AF31" i="1"/>
  <c r="AE31" i="1"/>
  <c r="AA38" i="1"/>
  <c r="AH48" i="1"/>
  <c r="AC48" i="1"/>
  <c r="AH38" i="1"/>
  <c r="AG38" i="1"/>
  <c r="AC45" i="1"/>
  <c r="AG32" i="1"/>
  <c r="AD7" i="1"/>
  <c r="AF64" i="1"/>
  <c r="AE23" i="1"/>
  <c r="AD23" i="1"/>
  <c r="AA65" i="1"/>
  <c r="AB65" i="1"/>
  <c r="AC65" i="1"/>
  <c r="AG21" i="1"/>
  <c r="AA48" i="1"/>
  <c r="AC26" i="1"/>
  <c r="AI21" i="1"/>
  <c r="AG45" i="1"/>
  <c r="AD29" i="1"/>
  <c r="AH64" i="1"/>
  <c r="AB30" i="1"/>
  <c r="AF23" i="1"/>
  <c r="AG31" i="1"/>
  <c r="AI48" i="1"/>
  <c r="AB64" i="1"/>
  <c r="AG48" i="1"/>
  <c r="AC64" i="1"/>
  <c r="AH23" i="1"/>
  <c r="AD48" i="1"/>
  <c r="AG64" i="1"/>
  <c r="AE65" i="1"/>
  <c r="AF65" i="1"/>
  <c r="AG65" i="1"/>
  <c r="AD38" i="1"/>
  <c r="AA45" i="1"/>
  <c r="AH65" i="1"/>
  <c r="AD64" i="1"/>
  <c r="AH45" i="1"/>
  <c r="AB36" i="1"/>
  <c r="AE4" i="1"/>
  <c r="AC36" i="1"/>
  <c r="AF4" i="1"/>
  <c r="AG13" i="1"/>
  <c r="AB13" i="1"/>
  <c r="AI4" i="1"/>
  <c r="AA4" i="1"/>
  <c r="AC13" i="1"/>
  <c r="AA64" i="1"/>
  <c r="Z64" i="1"/>
  <c r="AD4" i="1"/>
  <c r="AI13" i="1"/>
  <c r="AB6" i="1"/>
  <c r="AF6" i="1"/>
  <c r="AC6" i="1"/>
  <c r="AF9" i="1"/>
  <c r="AD6" i="1"/>
  <c r="AG6" i="1"/>
  <c r="AH6" i="1"/>
  <c r="AI6" i="1"/>
  <c r="AE6" i="1"/>
  <c r="AH25" i="1"/>
  <c r="AE25" i="1"/>
  <c r="AC5" i="1"/>
  <c r="AH5" i="1"/>
  <c r="AC25" i="1"/>
  <c r="AE17" i="1"/>
  <c r="AD25" i="1"/>
  <c r="AG17" i="1"/>
  <c r="AD17" i="1"/>
  <c r="AE5" i="1"/>
  <c r="AF5" i="1"/>
  <c r="AF30" i="1"/>
  <c r="AH30" i="1"/>
  <c r="AG30" i="1"/>
  <c r="AI30" i="1"/>
  <c r="AE24" i="1"/>
  <c r="AE16" i="1"/>
  <c r="AG36" i="1"/>
  <c r="AF24" i="1"/>
  <c r="AC16" i="1"/>
  <c r="AI36" i="1"/>
  <c r="AD16" i="1"/>
  <c r="AG16" i="1"/>
  <c r="AI24" i="1"/>
  <c r="AB16" i="1"/>
  <c r="AE36" i="1"/>
  <c r="AI16" i="1"/>
  <c r="AD36" i="1"/>
  <c r="AI23" i="1"/>
  <c r="AB5" i="1"/>
  <c r="AH4" i="1"/>
  <c r="AH13" i="1"/>
  <c r="AE21" i="1"/>
  <c r="AH17" i="1"/>
  <c r="AF25" i="1"/>
  <c r="AG25" i="1"/>
  <c r="AC24" i="1"/>
  <c r="AG24" i="1"/>
  <c r="AC46" i="1"/>
  <c r="AA17" i="1"/>
  <c r="AF36" i="1"/>
  <c r="AA29" i="1"/>
  <c r="AA36" i="1"/>
  <c r="AH37" i="1"/>
  <c r="AI37" i="1"/>
  <c r="AE37" i="1"/>
  <c r="AC10" i="1"/>
  <c r="AH10" i="1"/>
  <c r="AG37" i="1"/>
  <c r="AB29" i="1"/>
  <c r="AD49" i="1"/>
  <c r="AB37" i="1"/>
  <c r="AC49" i="1"/>
  <c r="AG4" i="1"/>
  <c r="AC29" i="1"/>
  <c r="AF21" i="1"/>
  <c r="AH21" i="1"/>
  <c r="AE10" i="1"/>
  <c r="AA21" i="1"/>
  <c r="AB21" i="1"/>
  <c r="AD21" i="1"/>
  <c r="AE19" i="1"/>
  <c r="AG19" i="1"/>
  <c r="AH19" i="1"/>
  <c r="AC9" i="1"/>
  <c r="AI9" i="1"/>
  <c r="AA19" i="1"/>
  <c r="AD19" i="1"/>
  <c r="AD9" i="1"/>
  <c r="AI29" i="1"/>
  <c r="AC37" i="1"/>
  <c r="AA5" i="1"/>
  <c r="AG9" i="1"/>
  <c r="AB9" i="1"/>
  <c r="AG5" i="1"/>
  <c r="AD5" i="1"/>
  <c r="AH9" i="1"/>
  <c r="AI17" i="1"/>
  <c r="AF17" i="1"/>
  <c r="AA9" i="1"/>
  <c r="AF16" i="1"/>
  <c r="AH24" i="1"/>
  <c r="AD50" i="1"/>
  <c r="AI10" i="1"/>
  <c r="AF10" i="1"/>
  <c r="AD10" i="1"/>
  <c r="AC30" i="1"/>
  <c r="AA16" i="1"/>
  <c r="AB10" i="1"/>
  <c r="AG10" i="1"/>
  <c r="AD30" i="1"/>
  <c r="AG23" i="1"/>
  <c r="AF29" i="1"/>
  <c r="AC17" i="1"/>
  <c r="AH29" i="1"/>
  <c r="AB24" i="1"/>
  <c r="AB50" i="1"/>
  <c r="AF19" i="1"/>
  <c r="AC50" i="1"/>
  <c r="AA37" i="1"/>
  <c r="AG29" i="1"/>
  <c r="AC19" i="1"/>
  <c r="AB25" i="1"/>
  <c r="AA25" i="1"/>
  <c r="AF49" i="1"/>
  <c r="AD46" i="1"/>
  <c r="AF37" i="1"/>
  <c r="AA24" i="1"/>
  <c r="AB49" i="1"/>
  <c r="AH49" i="1"/>
  <c r="AE46" i="1"/>
  <c r="AH46" i="1"/>
  <c r="AE49" i="1"/>
  <c r="AG49" i="1"/>
  <c r="AI49" i="1"/>
  <c r="AF28" i="1"/>
  <c r="AH28" i="1"/>
  <c r="AE50" i="1"/>
  <c r="AI28" i="1"/>
  <c r="AG50" i="1"/>
  <c r="AD28" i="1"/>
  <c r="AI50" i="1"/>
  <c r="AH20" i="1"/>
  <c r="AA28" i="1"/>
  <c r="AE28" i="1"/>
  <c r="AG28" i="1"/>
  <c r="AH50" i="1"/>
  <c r="AF46" i="1"/>
  <c r="AB28" i="1"/>
  <c r="AA50" i="1"/>
  <c r="AE20" i="1"/>
  <c r="AI20" i="1"/>
  <c r="AB20" i="1"/>
  <c r="AF20" i="1"/>
  <c r="AC20" i="1"/>
  <c r="AG20" i="1"/>
  <c r="AA20" i="1"/>
  <c r="AB46" i="1"/>
  <c r="AE51" i="1"/>
  <c r="AF51" i="1"/>
  <c r="AG51" i="1"/>
  <c r="AI51" i="1"/>
  <c r="AD51" i="1"/>
  <c r="AC51" i="1"/>
  <c r="AG46" i="1"/>
  <c r="AI46" i="1"/>
  <c r="AH51" i="1"/>
  <c r="Z47" i="1"/>
  <c r="Z40" i="1"/>
  <c r="Z39" i="1"/>
  <c r="AB51" i="1"/>
  <c r="AJ52" i="1"/>
  <c r="AJ15" i="1"/>
  <c r="AJ12" i="1"/>
  <c r="AJ33" i="1"/>
  <c r="AH19" i="5" l="1"/>
  <c r="AH42" i="5"/>
  <c r="AH27" i="5"/>
  <c r="AH24" i="5"/>
  <c r="AH25" i="5"/>
  <c r="AH28" i="5"/>
  <c r="AH26" i="5"/>
  <c r="AH9" i="5"/>
  <c r="AH3" i="5"/>
  <c r="AH7" i="5"/>
  <c r="AH5" i="5"/>
  <c r="AH14" i="5"/>
  <c r="AH15" i="5"/>
  <c r="AH4" i="5"/>
  <c r="AH23" i="5"/>
  <c r="AH10" i="5"/>
  <c r="AH6" i="5"/>
  <c r="AH11" i="5"/>
  <c r="AH21" i="5"/>
  <c r="AH18" i="5"/>
  <c r="AH16" i="5"/>
  <c r="AH2" i="5"/>
  <c r="AJ11" i="1"/>
  <c r="AJ8" i="1"/>
  <c r="AH8" i="5"/>
  <c r="AH12" i="5"/>
  <c r="AH13" i="5"/>
  <c r="AH17" i="5"/>
  <c r="AJ53" i="1"/>
  <c r="AJ27" i="1"/>
  <c r="AJ14" i="1"/>
  <c r="AJ55" i="1"/>
  <c r="AJ54" i="1"/>
  <c r="AJ35" i="1"/>
  <c r="AJ26" i="1"/>
  <c r="AJ7" i="1"/>
  <c r="AJ32" i="1"/>
  <c r="AJ31" i="1"/>
  <c r="AJ45" i="1"/>
  <c r="AJ38" i="1"/>
  <c r="AJ13" i="1"/>
  <c r="AJ48" i="1"/>
  <c r="AJ23" i="1"/>
  <c r="AJ6" i="1"/>
  <c r="AJ36" i="1"/>
  <c r="AJ16" i="1"/>
  <c r="AJ4" i="1"/>
  <c r="AJ25" i="1"/>
  <c r="AJ5" i="1"/>
  <c r="AJ21" i="1"/>
  <c r="AJ37" i="1"/>
  <c r="AJ24" i="1"/>
  <c r="AJ29" i="1"/>
  <c r="AJ9" i="1"/>
  <c r="AJ17" i="1"/>
  <c r="AJ10" i="1"/>
  <c r="AJ30" i="1"/>
  <c r="AJ19" i="1"/>
  <c r="AJ50" i="1"/>
  <c r="AJ49" i="1"/>
  <c r="AJ28" i="1"/>
  <c r="AJ20" i="1"/>
  <c r="AJ46" i="1"/>
  <c r="AJ51" i="1"/>
  <c r="AA40" i="1"/>
  <c r="AI40" i="1"/>
  <c r="AE40" i="1"/>
  <c r="AH40" i="1"/>
  <c r="AD40" i="1"/>
  <c r="AC40" i="1"/>
  <c r="AB40" i="1"/>
  <c r="AG40" i="1"/>
  <c r="AF40" i="1"/>
  <c r="AA39" i="1"/>
  <c r="AI39" i="1"/>
  <c r="AH39" i="1"/>
  <c r="AG39" i="1"/>
  <c r="AF39" i="1"/>
  <c r="AB39" i="1"/>
  <c r="AD39" i="1"/>
  <c r="AE39" i="1"/>
  <c r="AC39" i="1"/>
  <c r="AA47" i="1"/>
  <c r="AD47" i="1"/>
  <c r="AC47" i="1"/>
  <c r="AI47" i="1"/>
  <c r="AH47" i="1"/>
  <c r="AG47" i="1"/>
  <c r="AF47" i="1"/>
  <c r="AE47" i="1"/>
  <c r="AB47" i="1"/>
  <c r="AJ39" i="1" l="1"/>
  <c r="AJ40" i="1"/>
  <c r="AJ4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Sunniva Elisabeth Daae Steiro</author>
  </authors>
  <commentList>
    <comment ref="J1" authorId="0" shapeId="0" xr:uid="{E7A21EC7-1B84-CF46-BE8C-CD24B804A369}">
      <text>
        <r>
          <rPr>
            <sz val="10"/>
            <color rgb="FF000000"/>
            <rFont val="Tahoma"/>
            <family val="2"/>
          </rPr>
          <t>Bytte om validerings- og testfold, for å sjekke om modellen er godt generalisert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Sunniva Elisabeth Daae Steiro</author>
  </authors>
  <commentList>
    <comment ref="B2" authorId="0" shapeId="0" xr:uid="{2B1C2EF7-39CE-9A41-B7B6-79857FADC865}">
      <text>
        <r>
          <rPr>
            <sz val="10"/>
            <color rgb="FF000000"/>
            <rFont val="Tahoma"/>
            <family val="2"/>
          </rPr>
          <t>Gamle eksperiment etter grovsortering av røntgenbilder.</t>
        </r>
      </text>
    </comment>
  </commentList>
</comments>
</file>

<file path=xl/sharedStrings.xml><?xml version="1.0" encoding="utf-8"?>
<sst xmlns="http://schemas.openxmlformats.org/spreadsheetml/2006/main" count="1217" uniqueCount="416">
  <si>
    <t>Binary Experiments</t>
  </si>
  <si>
    <t>Configuration of model</t>
  </si>
  <si>
    <t>Andel i datasettet</t>
  </si>
  <si>
    <t>Job ID</t>
  </si>
  <si>
    <t>Dataset (.h5)</t>
  </si>
  <si>
    <t>Configuration(use as exp_name)</t>
  </si>
  <si>
    <t>Input size</t>
  </si>
  <si>
    <t>Complexity</t>
  </si>
  <si>
    <t>Learning rate</t>
  </si>
  <si>
    <t>Pretrain/scratch</t>
  </si>
  <si>
    <t>Epochs/best epoch</t>
  </si>
  <si>
    <t>mcc test</t>
  </si>
  <si>
    <t>Number of samples</t>
  </si>
  <si>
    <t>Normale</t>
  </si>
  <si>
    <t>1 artrose</t>
  </si>
  <si>
    <t>1 sklerose</t>
  </si>
  <si>
    <t>2 artrose</t>
  </si>
  <si>
    <t>2 PL</t>
  </si>
  <si>
    <t>3 artrose</t>
  </si>
  <si>
    <t>3 MCD</t>
  </si>
  <si>
    <t>3 OCD</t>
  </si>
  <si>
    <t>3 UAP</t>
  </si>
  <si>
    <t>sum abnormal</t>
  </si>
  <si>
    <t>sbatch slurm_pretrain_binary.sh config/pretrain/b2_normal_abnormal20_lr_00100.json b2_normal_abnormal_00100 50</t>
  </si>
  <si>
    <t>normal_abnormal20</t>
  </si>
  <si>
    <t>B2</t>
  </si>
  <si>
    <t>Pretrain</t>
  </si>
  <si>
    <t>50/48</t>
  </si>
  <si>
    <t>50/42</t>
  </si>
  <si>
    <t>30/20</t>
  </si>
  <si>
    <t>B3</t>
  </si>
  <si>
    <t>30/29</t>
  </si>
  <si>
    <t>Datasettet manglet 21_3 MCD</t>
  </si>
  <si>
    <t>normal_abnormal</t>
  </si>
  <si>
    <t>B0</t>
  </si>
  <si>
    <t>B1</t>
  </si>
  <si>
    <t>25/22</t>
  </si>
  <si>
    <t>Was written over by other experiment by accident</t>
  </si>
  <si>
    <t>NA</t>
  </si>
  <si>
    <t>225/218. Model not saved</t>
  </si>
  <si>
    <t>0_3</t>
  </si>
  <si>
    <t>20/20</t>
  </si>
  <si>
    <t>scratch</t>
  </si>
  <si>
    <t>30/30</t>
  </si>
  <si>
    <t>sbatch slurm_scratch_binary.sh config/scratch/b3_normal_abnormal20_scratch_lr_00500.json b3_normal_abnormal20_00500 70 --model_checkpoint_period 2 --prediction_checkpoint_period 2</t>
  </si>
  <si>
    <t>70/32</t>
  </si>
  <si>
    <t>sbatch slurm_scratch_binary.sh config/scratch/b3_normal_abnormal20_scratch_lr_00500.json b3_normal_abnormal20_scratch_lr_00500 --epochs 30</t>
  </si>
  <si>
    <t>30/22</t>
  </si>
  <si>
    <t>sbatch slurm_scratch_binary.sh config/scratch/b3_normal_abnormal20_scratch_lr_01000.json b3_normal_abnormal20_01000 50</t>
  </si>
  <si>
    <t>50/30</t>
  </si>
  <si>
    <t>Bare siste 10 epoker ble lagret</t>
  </si>
  <si>
    <t>Prøvde med checkpoint-2, men navnet på eksperimentet ble b3_normal_abnormal20_scratch_lr_00500 --model_checkpoint_period</t>
  </si>
  <si>
    <t>DID NOT RUN</t>
  </si>
  <si>
    <t>checkpoint-2. number of epochs must be on the very end of the sbatch command line</t>
  </si>
  <si>
    <t>checkpoint-2. must have "--epochs 50" as epoch argument</t>
  </si>
  <si>
    <t>noe feil med sbatch-kommando</t>
  </si>
  <si>
    <t>sbatch slurm_scratch_binary.sh config/scratch/b4_normal_abnormal20_scratch_lr_00500.json b4_normal_abnormal20_00500 70 --model_checkpoint_period 2 --prediction_checkpoint_period 2</t>
  </si>
  <si>
    <t>B4</t>
  </si>
  <si>
    <t>sbatch slurm_scratch_binary.sh config/scratch/b4_normal_abnormal20_scratch_lr_00500.json b4_normal_abnormal20_00500 50 --model_checkpoint_period 2 --prediction_checkpoint_period 2</t>
  </si>
  <si>
    <t>sbatch slurm_scratch_binary.sh config/scratch/b4_normal_abnormal20_scratch_lr_00500.json b4_normal_abnormal20_00500 30 --model_checkpoint_period 2 --prediction_checkpoint_period 2</t>
  </si>
  <si>
    <t>sbatch slurm_scratch_binary.sh config/scratch/b2_normal_abnormal20_scratch_lr_00500.json b2_normal_abnormal20_00500 70 --model_checkpoint_period 2 --prediction_checkpoint_period 2</t>
  </si>
  <si>
    <t>sbatch slurm_scratch_binary.sh config/scratch/b3_normal_abnormal20_scratch_lr_00001.json b3_normal_abnormal20_scratch_lr_00001 70 --model_checkpoint_period 2 --prediction_checkpoint_period 2</t>
  </si>
  <si>
    <t>70/20</t>
  </si>
  <si>
    <t>sbatch slurm_scratch_binary.sh config/scratch/b3_normal_abnormal20_scratch_lr_00001.json b3_normal_abnormal20_00001_70 70</t>
  </si>
  <si>
    <t>70/36</t>
  </si>
  <si>
    <t>Multiclass experiments</t>
  </si>
  <si>
    <t>Configuration</t>
  </si>
  <si>
    <t>Problem type</t>
  </si>
  <si>
    <t>Antall samples i hver kategori</t>
  </si>
  <si>
    <t>sum</t>
  </si>
  <si>
    <t>0 (god/ varierende/ dårlig kvalitet)</t>
  </si>
  <si>
    <t>225/364/128</t>
  </si>
  <si>
    <t>sum(abnormal only)</t>
  </si>
  <si>
    <t>Datasett (.h5)</t>
  </si>
  <si>
    <t>total</t>
  </si>
  <si>
    <t>resize_shape</t>
  </si>
  <si>
    <t>normal_abnormal21</t>
  </si>
  <si>
    <t>640_multiclass_level</t>
  </si>
  <si>
    <t>sbatch slurm_pretrain_binary.sh config/pretrain/b2_normal_abnormal20_pretrain_lr_00050.json b2_normal_abnormal20_0005 70</t>
  </si>
  <si>
    <t>sbatch slurm_pretrain_binary.sh config/pretrain/b2_normal_abnormal20_pretrain_lr_00100.json b2_normal_abnormal20_0010 70</t>
  </si>
  <si>
    <t>70/41</t>
  </si>
  <si>
    <t>70/57</t>
  </si>
  <si>
    <t>normal_abnormal20_1280</t>
  </si>
  <si>
    <t>sbatch slurm_pretrain_binary.sh config/pretrain/b2_normal_abnormal20_1280_pretrain_lr_00005.json b2_normal_abnormal20_1280_00005 100 --model_checkpoint_period 2 --prediction_checkpoint_period 2</t>
  </si>
  <si>
    <t>sbatch slurm_pretrain_binary.sh config/pretrain/b2_normal_abnormal20_800_pretrain_lr_00005.json b2_normal_abnormal20_800_00005 100 --model_checkpoint_period 2 --prediction_checkpoint_period 2</t>
  </si>
  <si>
    <t>command in orion</t>
  </si>
  <si>
    <t>Note</t>
  </si>
  <si>
    <t>Ran the 1280-config with 800 size-samples</t>
  </si>
  <si>
    <t>sbatch slurm_pretrain_binary.sh config/pretrain/b2_normal_abnormal20_1280_pretrain_lr_00050.json b2_normal_abnormal20_1280_0005 60</t>
  </si>
  <si>
    <t>Exhausted resources</t>
  </si>
  <si>
    <t>batch size reduced to 8</t>
  </si>
  <si>
    <t>100/68</t>
  </si>
  <si>
    <t>60/46</t>
  </si>
  <si>
    <t>sbatch slurm_pretrain_binary.sh config/pretrain/b2_normal_abnormal20_1280_pretrain_lr_00100.json b2_normal_abnormal20_1280correct_001 50</t>
  </si>
  <si>
    <t>50/38</t>
  </si>
  <si>
    <t>ID</t>
  </si>
  <si>
    <t>sbatch slurm_pretrain_binary.sh config/pretrain/b2_normal_abnormal20_800_lr_00050.json b2_normal_abnormal20_800_0005 50</t>
  </si>
  <si>
    <t>sbatch slurm_pretrain_binary.sh config/pretrain/b2_normal_abnormal21_lr_00100.json b2_normal_abnormal21_800_001 50</t>
  </si>
  <si>
    <t>50/32</t>
  </si>
  <si>
    <t>50/28</t>
  </si>
  <si>
    <t>Used batch size 8 by mistake</t>
  </si>
  <si>
    <t>sbatch slurm_pretrain_binary.sh config/pretrain/b2_normal_abnormal21_bs16_lr_00100.json b2_normal_abnormal21_bs16_800_001 50</t>
  </si>
  <si>
    <t>sbatch slurm_pretrain_binary.sh config/pretrain/b2_normal_abnormal20_bs32_800_lr_00100.json b2_normal_abnormal20_bs32_800_00100 50</t>
  </si>
  <si>
    <t>B2_normal_abnormal20_0.001</t>
  </si>
  <si>
    <t>Batch size 32: too much</t>
  </si>
  <si>
    <t>1468</t>
  </si>
  <si>
    <t>sbatch slurm_pretrain_binary.sh config/pretrain/b2_normal_abnormal_bs32_lr_00100.json b2_normal_abnormal_bs32_640_00100 50</t>
  </si>
  <si>
    <t>B2_normal_abnormal_0.001</t>
  </si>
  <si>
    <t>3295</t>
  </si>
  <si>
    <t>sbatch slurm_pretrain_binary.sh config/pretrain/b2_normal_abnormal20_bs25_800_lr_00100.json b2_normal_abnormal20_bs25_800_00100 50</t>
  </si>
  <si>
    <t>sbatch slurm_pretrain_binary.sh config/pretrain/b2_normal_abnormal_bs32_lr_00050.json b2_normal_abnormal_bs32_640_00050 50</t>
  </si>
  <si>
    <t>B2_normal_abnormal_0.0005</t>
  </si>
  <si>
    <t>Batch size 32</t>
  </si>
  <si>
    <t>50/26</t>
  </si>
  <si>
    <t>50/41</t>
  </si>
  <si>
    <t>sbatch slurm_pretrain_binary.sh config/pretrain/b1_normal_abnormal20_800_lr_00050.json b1_normal_abnormal20_800_00050 100 --model_checkpoint_period 2 --prediction_checkpoint_period 2</t>
  </si>
  <si>
    <t>Batch size 16(standard)</t>
  </si>
  <si>
    <t>mcc val</t>
  </si>
  <si>
    <t>f1 val</t>
  </si>
  <si>
    <t>f1_0 val</t>
  </si>
  <si>
    <t>f1 test</t>
  </si>
  <si>
    <t>f1_0 test</t>
  </si>
  <si>
    <t>Acc val</t>
  </si>
  <si>
    <t>Acc test</t>
  </si>
  <si>
    <t>AUC test</t>
  </si>
  <si>
    <t>roc_auc test</t>
  </si>
  <si>
    <t>AUC val</t>
  </si>
  <si>
    <t>roc_auc val</t>
  </si>
  <si>
    <t>sbatch slurm_pretrain_binary.sh config/pretrain/b1_normal_abnormal20_lr_00100.json b1_normal_abnormal20_00100 70 --model_checkpoint_period 2 --prediction_checkpoint_period 2</t>
  </si>
  <si>
    <t>Train time</t>
  </si>
  <si>
    <t>50/31</t>
  </si>
  <si>
    <t>batch size 25</t>
  </si>
  <si>
    <t>Batch size 16</t>
  </si>
  <si>
    <t>70/34</t>
  </si>
  <si>
    <t>With right labels on the dataset</t>
  </si>
  <si>
    <t>sbatch slurm_pretrain_binary.sh config/pretrain/b2_normal_abnormal21_bs16_lr_00100.json b2_normal_abnormal21_001_correct 35</t>
  </si>
  <si>
    <t>35/26</t>
  </si>
  <si>
    <t>sbatch slurm_pretrain_binary.sh config/pretrain/b1_normal_abnormal20_800_lr_00050.json b1_normal_abnormal20_00050_correct 70 --model_checkpoint_period 2 --prediction_checkpoint_period 2</t>
  </si>
  <si>
    <t>sbatch slurm_pretrain_binary.sh config/pretrain/b1_normal_abnormal20_lr_00100.json b1_normal_abnormal20_00100_correct 70 --model_checkpoint_period 2 --prediction_checkpoint_period 2</t>
  </si>
  <si>
    <t>70/48</t>
  </si>
  <si>
    <t>sbatch slurm_pretrain_binary.sh config/pretrain/b1_normal_abnormal20_lr_00500.json b1_normal_abnormal20_00500_correct 50</t>
  </si>
  <si>
    <t>50/44</t>
  </si>
  <si>
    <t>sbatch slurm_pretrain_binary.sh config/pretrain/b1_normal_abnormal20_lr_00010.json b1_normal_abnormal20_00010_correct 50</t>
  </si>
  <si>
    <t>50/49</t>
  </si>
  <si>
    <t>sbatch slurm_pretrain_binary.sh config/pretrain/b1_normal_abnormal20_bs32_lr_00050.json b1_normal_abnormal20_bs32_00050_correct 50</t>
  </si>
  <si>
    <t>Batch size 32 ble for stort</t>
  </si>
  <si>
    <t>note</t>
  </si>
  <si>
    <t>sbatch slurm_pretrain_multiclass.sh config/pretrain/b1_800_multiclass20_lvl_lr_00050.json b1_800_multiclass20_lvl_lr_00050 50</t>
  </si>
  <si>
    <t>800_multiclass20_lvl</t>
  </si>
  <si>
    <t>pretrain</t>
  </si>
  <si>
    <t>level</t>
  </si>
  <si>
    <t>Made mistake by not changing labels to 0,1,2 for job 11693707</t>
  </si>
  <si>
    <t>Binary acc val</t>
  </si>
  <si>
    <t>Accuracy val</t>
  </si>
  <si>
    <t>Binary acc test</t>
  </si>
  <si>
    <t>Accuracy test</t>
  </si>
  <si>
    <t>sbatch slurm_pretrain_multiclass.sh config/pretrain/b2_800_multiclass20_lvlbs25_lr_00050.json b2_800_multiclass20bs25_lvl_lr_00050 100 --model_checkpoint_period 2 --prediction_checkpoint_period 2</t>
  </si>
  <si>
    <t>100/50</t>
  </si>
  <si>
    <t>sbatch slurm_pretrain_multiclass.sh config/pretrain/b2_800_multiclass20_lvlbs25_lr_00001.json b2_800_multiclass20bs25_lvl_lr_00001 50</t>
  </si>
  <si>
    <t>sbatch slurm_pretrain_multiclass.sh config/pretrain/b2_800_multiclass20_lvlbs25_lr_00100.json b2_800_multiclass20_lvlbs25_lr_00100 50</t>
  </si>
  <si>
    <t>50/46</t>
  </si>
  <si>
    <t>sbatch slurm_pretrain_multiclass.sh config/pretrain/b2_800_multiclass20_lvlbs25_lr_00010.json b2_800_multiclass20_lvlbs25_lr_00010 50</t>
  </si>
  <si>
    <t>sbatch slurm_pretrain_multiclass.sh config/pretrain/b2_800_multiclass20_lvlbs25_lr_00001.json b2_multiclass20bs25_lvl_lr_00001 300 --model_checkpoint_period 3 --prediction_checkpoint_period 3</t>
  </si>
  <si>
    <t>batch size 25, out of memory</t>
  </si>
  <si>
    <t>sbatch slurm_pretrain_multiclass.sh config/pretrain/b2_800_multiclassbs25_diagnosis_lr_00050.json b2_800_multiclassbs25_diagnosis_lr_00050 70</t>
  </si>
  <si>
    <t>diagnosis</t>
  </si>
  <si>
    <t>800_multiclass_diagnosis</t>
  </si>
  <si>
    <t>Sum etter nivå</t>
  </si>
  <si>
    <t>70/59</t>
  </si>
  <si>
    <t>sbatch slurm_pretrain_multiclass.sh config/pretrain/b2_800_multiclassbs25_diagnosis_lr_00010.json b2_800_multiclassbs25_diagnosis_lr_00010 70</t>
  </si>
  <si>
    <t>sbatch slurm_pretrain_multiclass.sh config/pretrain/b2_800_multiclassbs25_diagnosis_lr_00005.json b2_800_multiclassbs25_diagnosis_lr_00005 70</t>
  </si>
  <si>
    <t xml:space="preserve"> 01:40:30</t>
  </si>
  <si>
    <t xml:space="preserve"> 01:45:37</t>
  </si>
  <si>
    <t>sbatch slurm_pretrain_multiclass.sh config/pretrain/b2_800_multiclassbs25_diagnosis_lr_00100.json b2_800_multiclassbs25_diagnosis_lr_00100 70</t>
  </si>
  <si>
    <t>70/67</t>
  </si>
  <si>
    <t>70/62</t>
  </si>
  <si>
    <t>70/68</t>
  </si>
  <si>
    <t>sbatch slurm_pretrain_multiclass.sh config/pretrain/b3_800_multiclassbs25_diagnosis_lr_00050.json b3_800_multiclassbs25_diagnosis_lr_00050 70</t>
  </si>
  <si>
    <t>too much memory</t>
  </si>
  <si>
    <t>sbatch slurm_pretrain_multiclass.sh config/pretrain/b1_800_multiclassbs25_diagnosis_lr_00050.json b1_800_multiclassbs25_diagnosis_lr_00050 70</t>
  </si>
  <si>
    <t xml:space="preserve">sbatch slurm_pretrain_multiclass.sh config/pretrain/b1_800_multiclassbs25_diagnosis_lr_00005.json b1_800_multiclassbs25_diagnosis_lr_00005 70 </t>
  </si>
  <si>
    <t xml:space="preserve"> 11727128 and 11727398  was killed …</t>
  </si>
  <si>
    <t>70/55</t>
  </si>
  <si>
    <t>70/56</t>
  </si>
  <si>
    <t xml:space="preserve">sbatch slurm_pretrain_multiclass.sh config/pretrain/b3_800_multiclassbs16_diagnosis_lr_00010.json b3_800_multiclassbs16_diagnosis_lr_00010 50 </t>
  </si>
  <si>
    <t xml:space="preserve">sbatch slurm_pretrain_multiclass.sh config/pretrain/b3_800_multiclassbs16_diagnosis_lr_00050.json b3_800_multiclassbs16_diagnosis_lr_00050 50 </t>
  </si>
  <si>
    <t>Batch size</t>
  </si>
  <si>
    <t>sbatch slurm_pretrain_binary.sh config/pretrain/b1_normal_abnormal20_800_lr_00050_foldflip.json b1_normal_abnormal20_00050_flip 50</t>
  </si>
  <si>
    <t>Notat: Alle gule celler i binære problem hadde ikke endret klasse 2</t>
  </si>
  <si>
    <t>Flipped fold 2 og 3</t>
  </si>
  <si>
    <t>sbatch slurm_pretrain_binary.sh config/pretrain/b1_normal_abnormal20_800_lr_00050_foldflip_aug.json b1_normal_abnormal20_00050_flip-aug 50</t>
  </si>
  <si>
    <t>Flip + augmentering</t>
  </si>
  <si>
    <t>50/39</t>
  </si>
  <si>
    <t>sbatch slurm_pretrain_binary.sh config/pretrain/b1_normal_abnormal20_800_lr_00005_foldflip.json b1_normal_abnormal20_00005_flip 80 --model_checkpoint_period 2 --prediction_checkpoint_period 2</t>
  </si>
  <si>
    <t>80/56</t>
  </si>
  <si>
    <t xml:space="preserve"> 02:01:05</t>
  </si>
  <si>
    <t>sbatch slurm_pretrain_multiclass.sh config/pretrain/b1_800_multiclassbs16_complete_lr_00050.json b1_800_multiclassbs16_complete_lr_00050 50</t>
  </si>
  <si>
    <t>800_multiclass_complete</t>
  </si>
  <si>
    <t>complete</t>
  </si>
  <si>
    <t>batch size</t>
  </si>
  <si>
    <t>sbatch slurm_pretrain_multiclass.sh config/pretrain/b1_800_multiclass20bs25_lvl_lr_00010.json b1_800_multiclass20bs25_lvl_lr_00010 50</t>
  </si>
  <si>
    <t>11740007 failed because of typo in config script</t>
  </si>
  <si>
    <t>sbatch slurm_pretrain_multiclass.sh config/pretrain/b2_800_multiclass20bs16_lvl_lr_00050_aug.json b2_800_multiclass20bs16_lvl_lr_00050_aug 50</t>
  </si>
  <si>
    <t>50/50</t>
  </si>
  <si>
    <t>50/47</t>
  </si>
  <si>
    <t>Kompleksitet</t>
  </si>
  <si>
    <t>Augmentering</t>
  </si>
  <si>
    <t>Validering</t>
  </si>
  <si>
    <t>Nei</t>
  </si>
  <si>
    <t>Ja</t>
  </si>
  <si>
    <t>Partistørrelse</t>
  </si>
  <si>
    <t>Læringsrate</t>
  </si>
  <si>
    <t>Forhåndstrent</t>
  </si>
  <si>
    <t>BinaryAccuracy val</t>
  </si>
  <si>
    <t>BinaryAccuracy test</t>
  </si>
  <si>
    <t>2 MCD</t>
  </si>
  <si>
    <t>sbatch slurm_pretrain_binary.sh config/pretrain/b1_800_normal_abnormal_1_bs25_lr_00050.json b1_800_normal_abnormal_1_bs25_lr_00050 50</t>
  </si>
  <si>
    <t>sbatch slurm_pretrain_binary.sh config/pretrain/b1_800_normal_abnormal_2_bs25_lr_00050.json b1_800_normal_abnormal_2_bs25_lr_00050 50</t>
  </si>
  <si>
    <t>1 artrose/sklerose</t>
  </si>
  <si>
    <t>800_normal_abnormal_1</t>
  </si>
  <si>
    <t>800_normal_abnormal_2</t>
  </si>
  <si>
    <t>Diagnose</t>
  </si>
  <si>
    <t>antall</t>
  </si>
  <si>
    <t>encoding</t>
  </si>
  <si>
    <t>1 artrose/ sklerose</t>
  </si>
  <si>
    <t>sbatch slurm_pretrain_binary.sh config/pretrain/b2_800_normal_abnormal_2_bs25_lr_00050.json b2_800_normal_abnormal_2_bs25_lr_00050 50</t>
  </si>
  <si>
    <t>sbatch slurm_pretrain_binary.sh config/pretrain/b1_800_normal_abnormal_2_bs25_lr_00010.json b1_800_normal_abnormal_2_bs25_lr_00010 70</t>
  </si>
  <si>
    <t>Runtime</t>
  </si>
  <si>
    <t>sbatch slurm_pretrain_binary.sh config/pretrain/b1_800_normal_abnormal_2_bs25_lr_00100.json b1_800_normal_abnormal_2_bs25_lr_00100 70</t>
  </si>
  <si>
    <t>sbatch slurm_pretrain_binary.sh config/pretrain/b2_800_normal_abnormal_2_bs25_lr_00010.json b2_800_normal_abnormal_2_bs25_lr_00010 70</t>
  </si>
  <si>
    <t>sbatch slurm_pretrain_binary.sh config/pretrain/b2_800_normal_abnormal_2_bs25_lr_00100.json b2_800_normal_abnormal_2_bs25_lr_00100 70</t>
  </si>
  <si>
    <t>one-hot transformation on labels. No OCD in train, don't have the dataset_gen file anymore…</t>
  </si>
  <si>
    <t>sbatch slurm_pretrain_binary.sh config/pretrain/b3_800_normal_abnormal_2_bs16_lr_00500.json b3_800_normal_abnormal_2_bs16_lr_00500 100 --model_checkpoint_period 2 --prediction_checkpoint_period 2</t>
  </si>
  <si>
    <t>sbatch slurm_pretrain_binary.sh config/pretrain/b3_800_normal_abnormal_2_bs16_lr_00005.json b3_800_normal_abnormal_2_bs16_lr_00005 100 --model_checkpoint_period 2 --prediction_checkpoint_period 2</t>
  </si>
  <si>
    <t>sbatch slurm_pretrain_binary.sh config/pretrain/b3_800_normal_abnormal_2_bs16_lr_00100.json b3_800_normal_abnormal_2_bs16_lr_00100 100 --model_checkpoint_period 2 --prediction_checkpoint_period 2</t>
  </si>
  <si>
    <t>sbatch slurm_pretrain_binary.sh config/pretrain/b3_800_normal_abnormal_2_bs16_lr_00050_flip.json b3_800_normal_abnormal_2_bs16_lr_00050_flip 100 --model_checkpoint_period 2 --prediction_checkpoint_period 2</t>
  </si>
  <si>
    <t>sbatch slurm_pretrain_binary.sh config/pretrain/b3_800_normal_abnormal_2_bs16_lr_00010.json b3_800_normal_abnormal_2_bs16_lr_00010 100 --model_checkpoint_period 2 --prediction_checkpoint_period 2</t>
  </si>
  <si>
    <t>sbatch slurm_pretrain_binary.sh config/pretrain/b3_800_normal_abnormal_2_bs16_lr_00050.json b3_800_normal_abnormal_2_bs16_lr_00050 71</t>
  </si>
  <si>
    <t>sbatch slurm_pretrain_binary.sh config/pretrain/b2_800_normal_abnormal_2_bs25_lr_00100_flip.json b2_800_normal_abnormal_2_bs25_lr_00100_flip 100 --model_checkpoint_period 2 --prediction_checkpoint_period 2</t>
  </si>
  <si>
    <t>sbatch slurm_pretrain_binary.sh config/pretrain/b3_800_normal_abnormal_2_bs16_lr_00050_aug.json b3_800_normal_abnormal_2_bs16_lr_00050_aug 100 --model_checkpoint_period 2 --prediction_checkpoint_period 2</t>
  </si>
  <si>
    <t>sbatch slurm_pretrain_binary.sh config/pretrain/b4_800_normal_abnormal_2_bs8_lr_00050.json b4_800_normal_abnormal_2_bs8_lr_00050 50</t>
  </si>
  <si>
    <t>sbatch slurm_pretrain_binary.sh config/pretrain/b3_800_normal_abnormal_2_bs16_lr_00050_aug_flip.json b3_800_normal_abnormal_2_bs16_lr_00050_aug_flip 100 --model_checkpoint_period 2 --prediction_checkpoint_period 2</t>
  </si>
  <si>
    <t>sbatch slurm_pretrain_binary.sh config/pretrain/b4_800_normal_abnormal_2_bs8_lr_00050_aug.json b4_800_normal_abnormal_2_bs8_lr_00050_aug 50</t>
  </si>
  <si>
    <t>11812130 got an issue in orion</t>
  </si>
  <si>
    <t>1280_normal_abnormal_2</t>
  </si>
  <si>
    <t>sbatch slurm_pretrain_binary.sh config/pretrain/b3_1280_normal_abnormal_2_bs4_lr_00005.json b3_1280_normal_abnormal_2_bs4_lr_00005 50</t>
  </si>
  <si>
    <t>11819442, 11819471 and 11819493 with bs16, 10 and 8 was too large</t>
  </si>
  <si>
    <t>640_normal_abnormal_2</t>
  </si>
  <si>
    <t>sbatch slurm_pretrain_binary.sh config/pretrain/b4_640_normal_abnormal_2_bs16_lr_00050.json b4_640_normal_abnormal_2_bs16_lr_00050 100 --model_checkpoint_period 2 --prediction_checkpoint_period 2</t>
  </si>
  <si>
    <t>sbatch slurm_pretrain_binary.sh config/pretrain/b3_640_normal_abnormal_2_bs16_lr_00050.json b3_640_normal_abnormal_2_bs16_lr_00050 100 --model_checkpoint_period 2 --prediction_checkpoint_period 2</t>
  </si>
  <si>
    <t>sbatch slurm_pretrain_binary.sh config/pretrain/b2_1280_normal_abnormal_2_bs8_lr_00050.json b2_1280_normal_abnormal_2_bs8_lr_00050 50</t>
  </si>
  <si>
    <t>sbatch slurm_pretrain_binary.sh config/pretrain/b2_1280_normal_abnormal_2_bs8_lr_00050_aug.json b2_1280_normal_abnormal_2_bs8_lr_00050_aug 50</t>
  </si>
  <si>
    <t>sbatch slurm_pretrain_binary.sh config/pretrain/b4_640_normal_abnormal_2_bs16_lr_00050_aug.json b4_640_normal_abnormal_2_bs16_lr_00050_aug 100 --model_checkpoint_period 2 --prediction_checkpoint_period 2</t>
  </si>
  <si>
    <t>sbatch slurm_pretrain_binary.sh config/pretrain/b4_640_normal_abnormal_2_bs25_lr_00050.json b4_640_normal_abnormal_2_bs25_lr_00050 100 --model_checkpoint_period 2 --prediction_checkpoint_period 2</t>
  </si>
  <si>
    <t>b3_640_normal_abnormal_2_bs16_lr_00050.json</t>
  </si>
  <si>
    <t>b4_640_normal_abnormal_2_bs16_lr_00050.json</t>
  </si>
  <si>
    <t>b4_640_normal_abnormal_2_bs16_lr_00050_aug.json</t>
  </si>
  <si>
    <t>b4_640_normal_abnormal_2_bs25_lr_00050.json</t>
  </si>
  <si>
    <t>b4_640_normal_abnormal_2_bs25_lr_00100.json</t>
  </si>
  <si>
    <t>b2_1280_normal_abnormal_2_bs8_lr_00050.json</t>
  </si>
  <si>
    <t>b2_1280_normal_abnormal_2_bs8_lr_00050_aug.json</t>
  </si>
  <si>
    <t>b3_1280_normal_abnormal_2_bs4_lr_00001.json</t>
  </si>
  <si>
    <t>b3_1280_normal_abnormal_2_bs4_lr_00005.json</t>
  </si>
  <si>
    <t>b1_800_normal_abnormal_2_bs25_lr_00010.json</t>
  </si>
  <si>
    <t>b1_800_normal_abnormal_2_bs25_lr_00050.json</t>
  </si>
  <si>
    <t>b1_800_normal_abnormal_2_bs25_lr_00100.json</t>
  </si>
  <si>
    <t>b2_800_normal_abnormal_2_bs25_lr_00010.json</t>
  </si>
  <si>
    <t>b2_800_normal_abnormal_2_bs25_lr_00050.json</t>
  </si>
  <si>
    <t>b2_800_normal_abnormal_2_bs25_lr_00100_flip.json</t>
  </si>
  <si>
    <t>b2_800_normal_abnormal_2_bs25_lr_00100.json</t>
  </si>
  <si>
    <t>b3_800_normal_abnormal_2_bs16_lr_00005.json</t>
  </si>
  <si>
    <t>b3_800_normal_abnormal_2_bs16_lr_00050_aug_flip.json</t>
  </si>
  <si>
    <t>b3_800_normal_abnormal_2_bs16_lr_00050_aug.json</t>
  </si>
  <si>
    <t>b3_800_normal_abnormal_2_bs16_lr_00050_flip.json</t>
  </si>
  <si>
    <t>b3_800_normal_abnormal_2_bs16_lr_00050.json</t>
  </si>
  <si>
    <t>b3_800_normal_abnormal_2_bs16_lr_00500.json</t>
  </si>
  <si>
    <t>b3_800_normal_abnormal_2_bs25_lr_00010.json</t>
  </si>
  <si>
    <t>b3_800_normal_abnormal_2_bs25_lr_00100.json</t>
  </si>
  <si>
    <t>b4_800_normal_abnormal_2_bs8_lr_00050_aug.json</t>
  </si>
  <si>
    <t>b4_800_normal_abnormal_2_bs8_lr_00050.json</t>
  </si>
  <si>
    <t>b3_640_normal_abnormal_2_bs50_lr_00100.json</t>
  </si>
  <si>
    <t>sbatch slurm_pretrain_binary.sh config/pretrain/b3_640_normal_abnormal_2_bs30_lr_00100.json b3_640_normal_abnormal_2_bs30_lr_00100 70</t>
  </si>
  <si>
    <t>11821270bs50 did not work</t>
  </si>
  <si>
    <t>b2_1280_normal_abnormal_2_bs8_lr_00100_aug.json</t>
  </si>
  <si>
    <t>800_level_3</t>
  </si>
  <si>
    <t>sbatch slurm_pretrain_binary.sh config/pretrain/b2_1280_normal_abnormal_2_bs8_lr_00100_aug.json b2_1280_normal_abnormal_2_bs8_lr_00100_aug 50</t>
  </si>
  <si>
    <t>Level</t>
  </si>
  <si>
    <t>b2_800_level_3_bs25_lr_00010.json</t>
  </si>
  <si>
    <t>b2_800_level_3_bs25_lr_00050.json</t>
  </si>
  <si>
    <t>sbatch slurm_pretrain_multiclass.sh config/pretrain/b2_800_level_3_bs25_lr_00050.json b2_800_level_3_bs25_lr_00050 50</t>
  </si>
  <si>
    <t>sbatch slurm_pretrain_multiclass.sh config/pretrain/b2_800_level_3_bs25_lr_00010.json b2_800_level_3_bs25_lr_00010 50</t>
  </si>
  <si>
    <t>50/29</t>
  </si>
  <si>
    <t>accuracy val</t>
  </si>
  <si>
    <t>accuracy test</t>
  </si>
  <si>
    <t>50/34</t>
  </si>
  <si>
    <t>b4_800_level_3_bs8_lr_00050.json</t>
  </si>
  <si>
    <t>b3_800_level_3_bs16_lr_00050.json</t>
  </si>
  <si>
    <t>sbatch slurm_pretrain_multiclass.sh config/pretrain/b3_800_level_3_bs16_lr_00050.json b3_800_level_3_bs16_lr_00050 50</t>
  </si>
  <si>
    <t>sbatch slurm_pretrain_multiclass.sh config/pretrain/b4_800_level_3_bs8_lr_00050.json b4_800_level_3_bs8_lr_00050 50</t>
  </si>
  <si>
    <t>50/35</t>
  </si>
  <si>
    <t>sbatch slurm_pretrain_multiclass.sh config/pretrain/b3_800_level_3_bs16_lr_00050_aug.json b3_800_level_3_bs16_lr_00050_aug 50</t>
  </si>
  <si>
    <t>sbatch slurm_pretrain_multiclass.sh config/pretrain/b4_800_level_3_bs8_lr_00050_aug.json b4_800_level_3_bs8_lr_00050_aug 50</t>
  </si>
  <si>
    <t>50/25</t>
  </si>
  <si>
    <t>800_complete_3</t>
  </si>
  <si>
    <t>Complete</t>
  </si>
  <si>
    <t>sbatch slurm_pretrain_multiclass.sh config/pretrain/b3_800_complete_3_bs16_lr_00050.json b3_800_complete_3_bs16_lr_00050 50</t>
  </si>
  <si>
    <t>sbatch slurm_pretrain_multiclass.sh config/pretrain/b4_800_complete_3_bs8_lr_00050.json b4_800_complete_3_bs8_lr_00050 50</t>
  </si>
  <si>
    <t>b3_800_complete_3_bs16_lr_00050.json</t>
  </si>
  <si>
    <t>b4_800_complete_3_bs8_lr_00050.json</t>
  </si>
  <si>
    <t>b3_800_level_3_bs16_lr_00050_aug.json</t>
  </si>
  <si>
    <t>b4_800_level_3_bs8_lr_00050_aug.json</t>
  </si>
  <si>
    <t>sbatch slurm_pretrain_multiclass.sh config/pretrain/b4_800_complete_3_bs8_lr_00050_aug.json b4_800_complete_3_bs8_lr_00050_aug 60</t>
  </si>
  <si>
    <t>60/40</t>
  </si>
  <si>
    <t>b3_800_level_3_bs16_lr_00010_aug.json</t>
  </si>
  <si>
    <t>b3_800_level_3_bs16_lr_00100_aug.json</t>
  </si>
  <si>
    <t>b4_800_level_3_bs8_lr_00010_aug.json</t>
  </si>
  <si>
    <t>b4_800_level_3_bs8_lr_00100_aug.json</t>
  </si>
  <si>
    <t>sbatch slurm_pretrain_multiclass.sh config/pretrain/b3_800_level_3_bs16_lr_00010_aug.json b3_800_level_3_bs16_lr_00010_aug 50</t>
  </si>
  <si>
    <t>sbatch slurm_pretrain_multiclass.sh config/pretrain/b4_800_level_3_bs8_lr_00010_aug.json b4_800_level_3_bs8_lr_00010_aug 50</t>
  </si>
  <si>
    <t>50/23</t>
  </si>
  <si>
    <t>sbatch slurm_pretrain_multiclass.sh config/pretrain/b3_800_level_3_bs16_lr_00100_aug.json b3_800_level_3_bs16_lr_00100_aug 50</t>
  </si>
  <si>
    <t>sbatch slurm_pretrain_multiclass.sh config/pretrain/b4_800_level_3_bs8_lr_00100_aug.json b4_800_level_3_bs8_lr_00100_aug 50</t>
  </si>
  <si>
    <t>b3_800_level_3_bs16_lr_00050_aug_flip.json</t>
  </si>
  <si>
    <t>b3_800_level_3_bs16_lr_00100_aug_flip.json</t>
  </si>
  <si>
    <t>b3_800_level_3_bs16_lr_00500_aug.json</t>
  </si>
  <si>
    <t>sbatch slurm_pretrain_multiclass.sh config/pretrain/b3_800_level_3_bs16_lr_00050_aug_flip.json b3_800_level_3_bs16_lr_00050_aug_flip 50</t>
  </si>
  <si>
    <t>sbatch slurm_pretrain_multiclass.sh config/pretrain/b3_800_level_3_bs16_lr_00100_aug_flip.json b3_800_level_3_bs16_lr_00100_aug_flip 50</t>
  </si>
  <si>
    <t>sbatch slurm_pretrain_multiclass.sh config/pretrain/b3_800_level_3_bs16_lr_00500_aug.json b3_800_level_3_bs16_lr_00500_aug 50</t>
  </si>
  <si>
    <t>sbatch slurm_external_binary.sh external_config/external_binary_2_800.json b4_800_normal_abnormal_2_bs8_lr_00050_aug</t>
  </si>
  <si>
    <t>800_ext_binary_2</t>
  </si>
  <si>
    <t>external test</t>
  </si>
  <si>
    <t>sbatch slurm_external_binary.sh external_config/external_binary_2_800.json b3_800_normal_abnormal_2_bs16_lr_00050_flip</t>
  </si>
  <si>
    <t>sbatch slurm_pretrain_multiclass.sh config/pretrain/b4_800_complete_3_bs8_lr_00050_flip.json b4_800_complete_3_bs8_lr_00050_flip 50</t>
  </si>
  <si>
    <t>b4_800_complete_3_bs8_lr_00050_flip.json</t>
  </si>
  <si>
    <t>50/43</t>
  </si>
  <si>
    <t>b3_800_artrose_rest_bs16_lr_00010.json</t>
  </si>
  <si>
    <t>b3_800_artrose_rest_bs16_lr_00050.json</t>
  </si>
  <si>
    <t>800_arthrosis_vs_rest</t>
  </si>
  <si>
    <t>800_lvl1_vs_rest</t>
  </si>
  <si>
    <t>sbatch slurm_pretrain_binary.sh config/pretrain/b3_800_artrose_rest_bs16_lr_00050.json b3_800_artrose_rest_bs16_lr_00050 50</t>
  </si>
  <si>
    <t>normal/abnormal</t>
  </si>
  <si>
    <t>artrose/rest</t>
  </si>
  <si>
    <t>sbatch slurm_pretrain_binary.sh config/pretrain/b3_800_artrose_rest_bs16_lr_00010.json b3_800_artrose_rest_bs16_lr_00010 70</t>
  </si>
  <si>
    <t>b2_800_arthrosis_rest_bs25_lr_00050.json</t>
  </si>
  <si>
    <t>sbatch slurm_pretrain_binary.sh config/pretrain/b2_800_arthrosis_rest_bs25_lr_00050.json b2_800_arthrosis_rest_bs25_lr_00050 70</t>
  </si>
  <si>
    <t>sbatch slurm_pretrain_binary.sh config/pretrain/b3_800_artrose_rest_bs16_lr_00010_aug.json b3_800_artrose_rest_bs16_lr_00010_aug 70</t>
  </si>
  <si>
    <t>b3_800_artrose_rest_bs16_lr_00010_aug.json</t>
  </si>
  <si>
    <t>b4_800_arthrosis_rest_bs8_lr_00010.json</t>
  </si>
  <si>
    <t>b4_800_arthrosis_rest_bs8_lr_00050.json</t>
  </si>
  <si>
    <t>sbatch slurm_pretrain_binary.sh config/pretrain/b4_800_arthrosis_rest_bs8_lr_00010.json b4_800_arthrosis_rest_bs8_lr_00010 70</t>
  </si>
  <si>
    <t>sbatch slurm_pretrain_binary.sh config/pretrain/b3_800_artrose_rest_bs16_lr_00050_aug.json b3_800_artrose_rest_bs16_lr_00050_aug 70</t>
  </si>
  <si>
    <t>b4_800_lvl1_rest_bs8_lr_00010.json</t>
  </si>
  <si>
    <t>b4_800_lvl1_rest_bs8_lr_00050.json</t>
  </si>
  <si>
    <t>sbatch slurm_pretrain_binary.sh config/pretrain/b4_800_lvl1_rest_bs8_lr_00050.json b4_800_lvl1_rest_bs8_lr_00050 70</t>
  </si>
  <si>
    <t>sbatch slurm_pretrain_binary.sh config/pretrain/b4_800_lvl1_rest_bs8_lr_00010.json b4_800_lvl1_rest_bs8_lr_00010 70</t>
  </si>
  <si>
    <t>lvl1/rest</t>
  </si>
  <si>
    <t>b2_800_lvl1_rest_bs16_lr_00010.json</t>
  </si>
  <si>
    <t>b2_800_lvl1_rest_bs16_lr_00050.json</t>
  </si>
  <si>
    <t>b2_800_lvl1_rest_bs16_lr_00100.json</t>
  </si>
  <si>
    <t>b3_800_lvl1_rest_bs16_lr_00010.json</t>
  </si>
  <si>
    <t>b3_800_lvl1_rest_bs16_lr_00050.json</t>
  </si>
  <si>
    <t>b3_800_lvl1_rest_bs16_lr_00100.json</t>
  </si>
  <si>
    <t>sbatch --nodelist=gn-2 slurm_pretrain_binary.sh config/pretrain/b2_800_lvl1_rest_bs16_lr_00010.json b2_800_lvl1_rest_bs16_lr_00010 70</t>
  </si>
  <si>
    <t>sbatch --nodelist=gn-2 slurm_pretrain_binary.sh config/pretrain/b3_800_lvl1_rest_bs16_lr_00010.json b3_800_lvl1_rest_bs16_lr_00010 70</t>
  </si>
  <si>
    <t>beste epoke</t>
  </si>
  <si>
    <t>Epoker</t>
  </si>
  <si>
    <t>sbatch slurm_pretrain_binary.sh config/pretrain/b4_800_normal_abnormal_2_bs8_lr_00050_aug_flip.json b4_800_normal_abnormal_2_bs8_lr_00050_aug_flip 70</t>
  </si>
  <si>
    <t>800_binary_error_predictor_2</t>
  </si>
  <si>
    <t>b2_800_binary_error_predictor_2_bs16_lr_00050.json</t>
  </si>
  <si>
    <t>b4_800_binary_error_predictor_2_bs8_lr_00050.json</t>
  </si>
  <si>
    <t>800_complete_ext_binary_2</t>
  </si>
  <si>
    <t>external</t>
  </si>
  <si>
    <t>sbatch slurm_external_binary.sh external_config/external_binary_complete_2_800.json b4_800_normal_abnormal_2_bs8_lr_00050_aug_flip</t>
  </si>
  <si>
    <t>sbatch slurm_external_binary.sh external_config/external_binary_complete_2_800.json b4_800_normal_abnormal_2_bs8_lr_00050_aug</t>
  </si>
  <si>
    <t>model</t>
  </si>
  <si>
    <t>800_complete_ext_binary_feedback_2</t>
  </si>
  <si>
    <t>feedback</t>
  </si>
  <si>
    <t>800_only_wrong_2</t>
  </si>
  <si>
    <t>sbatch slurm_feedback.sh external_config/feedback_2.json b4_800_normal_abnormal_2_bs8_lr_00050_aug_flip 50 --initial_epoch 500</t>
  </si>
  <si>
    <t>sbatch slurm_feedback.sh external_config/external_feedback_binary_complete_2_800.json b4_800_normal_abnormal_2_bs8_lr_00050_aug_flip 30</t>
  </si>
  <si>
    <t>Using the external dataset as feedback dataset, with half of it being the test set</t>
  </si>
  <si>
    <t>sbatch slurm_feedback.sh external_config/feedback_2.json b4_800_normal_abnormal_2_bs8_lr_00050_aug_flip 50</t>
  </si>
  <si>
    <t>b4_800_normal_abnormal_2_bs8_lr_00050_aug_flip_external_feedback_binary_complete_2_800</t>
  </si>
  <si>
    <t>b4_800_normal_abnormal_2_bs8_lr_00050_aug_flip_feedback_2</t>
  </si>
  <si>
    <t>b4_800_normal_abnormal_2_bs8_lr_00050_aug_flip_feedback_2_external_800_complete_ext_binary_feedback_2</t>
  </si>
  <si>
    <t>sbatch slurm_external_binary.sh external_config/external_800_complete_ext_binary_feedback_2.json b4_800_normal_abnormal_2_bs8_lr_00050_aug_flip</t>
  </si>
  <si>
    <t>b4_800_normal_abnormal_2_bs8_lr_00050_aug_flip_external_800_complete_ext_binary_feedback_2</t>
  </si>
  <si>
    <t>With initial_epoch set to 500 in order to give the model a low learning rate. Error: chose epoch 129 as best epoch</t>
  </si>
  <si>
    <t>sbatch slurm_feedback.sh external_config/feedback_2.json b4_800_normal_abnormal_2_bs8_lr_00050_aug_flip 50 --initial_epoch 500 --best_epoch 57</t>
  </si>
  <si>
    <t>running resampling with only_wrong. Overwriting 11947687</t>
  </si>
  <si>
    <t>sbatch slurm_external_binary.sh external_config/external_800_complete_ext_binary_feedback_2.json b4_800_normal_abnormal_2_bs8_lr_00050_aug_flip_feedback_2</t>
  </si>
  <si>
    <t>External test on 11947687, but chose 57 instead of 507, so the same test was ran in 11950505</t>
  </si>
  <si>
    <t>external test on 11866903 with complete test set</t>
  </si>
  <si>
    <t>external test on 11939790 with complete test set</t>
  </si>
  <si>
    <t>Feedback on 11939790 with initial epoch set to 100</t>
  </si>
  <si>
    <t>External test on 11941044. cant find the log folder, I think it must be overwritten</t>
  </si>
  <si>
    <t>External test on 11950505. chose epoch 509</t>
  </si>
  <si>
    <t>model_clean</t>
  </si>
  <si>
    <t>complexity</t>
  </si>
  <si>
    <t xml:space="preserve"> b3_800_level_3_bs16_lr_00050_aug_flip_combined_retraining</t>
  </si>
  <si>
    <t>sbatch slurm_feedback_multiclass.sh external_config/combined_retraining.json b3_800_level_3_bs16_lr_00050_aug_flip 20</t>
  </si>
  <si>
    <t>20/114</t>
  </si>
  <si>
    <t>800_complete_ext_level_3</t>
  </si>
  <si>
    <t>sbatch slurm_pretrain_binary.sh config/pretrain/b0_800_normal_abnormal_2_bs25_lr_00050.json b0_800_normal_abnormal_2_bs25_lr_00050 50</t>
  </si>
  <si>
    <t>sbatch slurm_pretrain_multiclass.sh config/pretrain/b0_800_level_3_bs16_lr_00050.json b0_800_level_3_bs16_lr_00050 20</t>
  </si>
  <si>
    <t>baseline</t>
  </si>
  <si>
    <t>Konfigurasjoner tilhørende hvert datasett</t>
  </si>
  <si>
    <t>b2_800_binary_error_predictor_2_bs16_lr_00050.json b2_800_binary_error_predictor_2_bs16_lr_00050 50</t>
  </si>
  <si>
    <t>error predictor</t>
  </si>
  <si>
    <t xml:space="preserve">sbatch slurm_pretrain_binary.sh config/pretrain/b4_800_binary_error_predictor_2_bs8_lr_00050.json b4_800_binary_error_predictor_2_bs8_lr_00050 50 </t>
  </si>
  <si>
    <t>klassifiserbar</t>
  </si>
  <si>
    <t>Referansemodell</t>
  </si>
  <si>
    <t>andel abnormal</t>
  </si>
  <si>
    <t>andel normale</t>
  </si>
  <si>
    <t>Notat</t>
  </si>
  <si>
    <t>slurm job-ID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</si>
</sst>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[h]:mm:ss;@"/>
    <numFmt numFmtId="166" formatCode="0.000"/>
  </numFmts>
  <fonts count="23">
    <font>
      <sz val="11"/>
      <color theme="1"/>
      <name val="Calibri"/>
      <family val="2"/>
      <scheme val="minor"/>
    </font>
    <font>
      <sz val="11"/>
      <color rgb="FF1A1A1A"/>
      <name val="OpenSans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1A1A1A"/>
      <name val="OpenSans"/>
    </font>
    <font>
      <sz val="11"/>
      <name val="Calibri"/>
      <family val="2"/>
      <scheme val="minor"/>
    </font>
    <font>
      <sz val="11"/>
      <name val="OpenSans"/>
    </font>
    <font>
      <sz val="11"/>
      <color rgb="FF000000"/>
      <name val="Menlo"/>
      <family val="2"/>
    </font>
    <font>
      <sz val="11"/>
      <color rgb="FF000000"/>
      <name val="Courier New"/>
      <family val="3"/>
    </font>
    <font>
      <sz val="11"/>
      <color theme="1"/>
      <name val="Calibri"/>
      <family val="2"/>
      <scheme val="minor"/>
    </font>
    <font>
      <b/>
      <sz val="12"/>
      <color rgb="FF1A1A1A"/>
      <name val="Abadi Extra Light"/>
      <family val="2"/>
    </font>
    <font>
      <sz val="12"/>
      <color theme="1"/>
      <name val="Abadi Extra Light"/>
      <family val="2"/>
    </font>
    <font>
      <sz val="12"/>
      <color rgb="FF1A1A1A"/>
      <name val="Abadi Extra Light"/>
      <family val="2"/>
    </font>
    <font>
      <sz val="14"/>
      <color rgb="FF000000"/>
      <name val="Menlo"/>
      <family val="2"/>
    </font>
    <font>
      <sz val="11"/>
      <color theme="1"/>
      <name val="Abadi Extra Light"/>
    </font>
    <font>
      <b/>
      <sz val="11"/>
      <color rgb="FFFFFFFF"/>
      <name val="Calibri"/>
      <family val="2"/>
      <scheme val="minor"/>
    </font>
    <font>
      <sz val="11"/>
      <name val="Abadi Extra Light"/>
    </font>
    <font>
      <sz val="11"/>
      <color rgb="FF1A1A1A"/>
      <name val="Abadi Extra Light"/>
      <family val="2"/>
    </font>
    <font>
      <sz val="12"/>
      <color theme="1"/>
      <name val="Abadi Extra Light"/>
    </font>
    <font>
      <sz val="18"/>
      <color theme="9"/>
      <name val="Calibri"/>
      <family val="2"/>
      <scheme val="minor"/>
    </font>
    <font>
      <sz val="10"/>
      <color rgb="FF000000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</patternFill>
    </fill>
    <fill>
      <patternFill patternType="solid">
        <fgColor rgb="FF000000"/>
        <bgColor rgb="FF000000"/>
      </patternFill>
    </fill>
    <fill>
      <patternFill patternType="solid">
        <fgColor theme="1"/>
        <bgColor indexed="64"/>
      </patternFill>
    </fill>
  </fills>
  <borders count="18">
    <border>
      <left/>
      <right/>
      <top/>
      <bottom/>
      <diagonal/>
    </border>
    <border>
      <left style="medium">
        <color rgb="FFA9A9A9"/>
      </left>
      <right style="medium">
        <color rgb="FFA9A9A9"/>
      </right>
      <top style="medium">
        <color rgb="FFA9A9A9"/>
      </top>
      <bottom style="medium">
        <color rgb="FFA9A9A9"/>
      </bottom>
      <diagonal/>
    </border>
    <border>
      <left style="medium">
        <color rgb="FFA9A9A9"/>
      </left>
      <right style="medium">
        <color rgb="FFA9A9A9"/>
      </right>
      <top style="thin">
        <color rgb="FF000000"/>
      </top>
      <bottom style="medium">
        <color rgb="FFA9A9A9"/>
      </bottom>
      <diagonal/>
    </border>
    <border>
      <left/>
      <right style="medium">
        <color rgb="FFA9A9A9"/>
      </right>
      <top style="medium">
        <color rgb="FFA9A9A9"/>
      </top>
      <bottom style="medium">
        <color rgb="FFA9A9A9"/>
      </bottom>
      <diagonal/>
    </border>
    <border>
      <left style="medium">
        <color rgb="FFA9A9A9"/>
      </left>
      <right style="medium">
        <color rgb="FFA9A9A9"/>
      </right>
      <top style="medium">
        <color rgb="FFA9A9A9"/>
      </top>
      <bottom/>
      <diagonal/>
    </border>
    <border>
      <left style="thin">
        <color rgb="FF000000"/>
      </left>
      <right style="medium">
        <color rgb="FFA9A9A9"/>
      </right>
      <top style="thin">
        <color rgb="FF000000"/>
      </top>
      <bottom style="medium">
        <color rgb="FFA9A9A9"/>
      </bottom>
      <diagonal/>
    </border>
    <border>
      <left style="medium">
        <color rgb="FFA9A9A9"/>
      </left>
      <right style="thin">
        <color rgb="FF000000"/>
      </right>
      <top style="thin">
        <color rgb="FF000000"/>
      </top>
      <bottom style="medium">
        <color rgb="FFA9A9A9"/>
      </bottom>
      <diagonal/>
    </border>
    <border>
      <left style="thin">
        <color rgb="FF000000"/>
      </left>
      <right style="medium">
        <color rgb="FFA9A9A9"/>
      </right>
      <top style="medium">
        <color rgb="FFA9A9A9"/>
      </top>
      <bottom style="medium">
        <color rgb="FFA9A9A9"/>
      </bottom>
      <diagonal/>
    </border>
    <border>
      <left style="medium">
        <color rgb="FFA9A9A9"/>
      </left>
      <right style="thin">
        <color rgb="FF000000"/>
      </right>
      <top style="medium">
        <color rgb="FFA9A9A9"/>
      </top>
      <bottom style="medium">
        <color rgb="FFA9A9A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medium">
        <color rgb="FFA9A9A9"/>
      </right>
      <top style="medium">
        <color rgb="FFA9A9A9"/>
      </top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 style="medium">
        <color rgb="FFA9A9A9"/>
      </right>
      <top style="medium">
        <color rgb="FFA9A9A9"/>
      </top>
      <bottom style="thin">
        <color theme="4" tint="0.39997558519241921"/>
      </bottom>
      <diagonal/>
    </border>
    <border>
      <left/>
      <right/>
      <top style="thick">
        <color indexed="64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theme="1"/>
      </bottom>
      <diagonal/>
    </border>
    <border>
      <left/>
      <right/>
      <top/>
      <bottom style="medium">
        <color rgb="FFFFFFFF"/>
      </bottom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11" fillId="8" borderId="15" applyNumberFormat="0" applyFont="0" applyAlignment="0" applyProtection="0"/>
  </cellStyleXfs>
  <cellXfs count="123">
    <xf numFmtId="0" fontId="0" fillId="0" borderId="0" xfId="0"/>
    <xf numFmtId="0" fontId="1" fillId="0" borderId="2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top" wrapText="1"/>
    </xf>
    <xf numFmtId="49" fontId="0" fillId="0" borderId="0" xfId="0" applyNumberFormat="1"/>
    <xf numFmtId="0" fontId="1" fillId="0" borderId="5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left" vertical="center" wrapText="1"/>
    </xf>
    <xf numFmtId="0" fontId="6" fillId="0" borderId="6" xfId="0" applyFont="1" applyBorder="1" applyAlignment="1">
      <alignment horizontal="left" vertical="center" wrapText="1"/>
    </xf>
    <xf numFmtId="0" fontId="6" fillId="0" borderId="8" xfId="0" applyFont="1" applyBorder="1" applyAlignment="1">
      <alignment horizontal="left" vertical="center" wrapText="1"/>
    </xf>
    <xf numFmtId="0" fontId="3" fillId="2" borderId="1" xfId="1" applyBorder="1" applyAlignment="1">
      <alignment horizontal="left" vertical="center" wrapText="1"/>
    </xf>
    <xf numFmtId="0" fontId="4" fillId="3" borderId="1" xfId="2" applyBorder="1" applyAlignment="1">
      <alignment horizontal="left" vertical="center" wrapText="1"/>
    </xf>
    <xf numFmtId="0" fontId="1" fillId="0" borderId="10" xfId="0" applyFont="1" applyBorder="1" applyAlignment="1">
      <alignment horizontal="left" vertical="center" wrapText="1"/>
    </xf>
    <xf numFmtId="0" fontId="3" fillId="2" borderId="4" xfId="1" applyBorder="1" applyAlignment="1">
      <alignment horizontal="left" vertical="center" wrapText="1"/>
    </xf>
    <xf numFmtId="0" fontId="4" fillId="3" borderId="4" xfId="2" applyBorder="1" applyAlignment="1">
      <alignment horizontal="left" vertical="center" wrapText="1"/>
    </xf>
    <xf numFmtId="0" fontId="5" fillId="0" borderId="9" xfId="0" applyFont="1" applyBorder="1" applyAlignment="1">
      <alignment wrapText="1"/>
    </xf>
    <xf numFmtId="0" fontId="5" fillId="0" borderId="9" xfId="0" applyFont="1" applyBorder="1"/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 vertical="center"/>
    </xf>
    <xf numFmtId="0" fontId="6" fillId="4" borderId="12" xfId="0" applyFont="1" applyFill="1" applyBorder="1" applyAlignment="1">
      <alignment horizontal="left" vertical="center"/>
    </xf>
    <xf numFmtId="0" fontId="6" fillId="4" borderId="3" xfId="0" applyFont="1" applyFill="1" applyBorder="1" applyAlignment="1">
      <alignment horizontal="left" vertical="center"/>
    </xf>
    <xf numFmtId="0" fontId="6" fillId="4" borderId="7" xfId="0" applyFont="1" applyFill="1" applyBorder="1" applyAlignment="1">
      <alignment horizontal="left" vertical="center"/>
    </xf>
    <xf numFmtId="0" fontId="6" fillId="4" borderId="13" xfId="0" applyFont="1" applyFill="1" applyBorder="1" applyAlignment="1">
      <alignment horizontal="left" vertical="center"/>
    </xf>
    <xf numFmtId="0" fontId="4" fillId="3" borderId="0" xfId="2"/>
    <xf numFmtId="0" fontId="6" fillId="4" borderId="0" xfId="0" applyFont="1" applyFill="1" applyAlignment="1">
      <alignment horizontal="left" vertical="center"/>
    </xf>
    <xf numFmtId="0" fontId="0" fillId="0" borderId="0" xfId="0" applyAlignment="1">
      <alignment vertical="center"/>
    </xf>
    <xf numFmtId="1" fontId="0" fillId="0" borderId="0" xfId="0" applyNumberFormat="1"/>
    <xf numFmtId="0" fontId="0" fillId="0" borderId="0" xfId="0" applyAlignment="1">
      <alignment horizontal="center" vertical="center"/>
    </xf>
    <xf numFmtId="164" fontId="8" fillId="0" borderId="0" xfId="0" applyNumberFormat="1" applyFont="1" applyAlignment="1">
      <alignment horizontal="left" vertical="center"/>
    </xf>
    <xf numFmtId="2" fontId="1" fillId="0" borderId="0" xfId="0" applyNumberFormat="1" applyFont="1" applyAlignment="1">
      <alignment horizontal="left" vertical="center"/>
    </xf>
    <xf numFmtId="2" fontId="4" fillId="3" borderId="0" xfId="2" applyNumberFormat="1" applyAlignment="1">
      <alignment horizontal="left" vertical="center"/>
    </xf>
    <xf numFmtId="2" fontId="0" fillId="0" borderId="0" xfId="0" applyNumberFormat="1" applyAlignment="1">
      <alignment horizontal="left" vertical="center"/>
    </xf>
    <xf numFmtId="49" fontId="1" fillId="0" borderId="0" xfId="0" applyNumberFormat="1" applyFont="1" applyAlignment="1">
      <alignment horizontal="left" vertical="center" wrapText="1"/>
    </xf>
    <xf numFmtId="0" fontId="4" fillId="3" borderId="0" xfId="2" applyAlignment="1">
      <alignment horizontal="left" vertical="center"/>
    </xf>
    <xf numFmtId="164" fontId="4" fillId="3" borderId="0" xfId="2" applyNumberFormat="1" applyAlignment="1">
      <alignment horizontal="left" vertical="center"/>
    </xf>
    <xf numFmtId="49" fontId="4" fillId="3" borderId="0" xfId="2" applyNumberFormat="1" applyAlignment="1">
      <alignment horizontal="left" vertical="center" wrapText="1"/>
    </xf>
    <xf numFmtId="49" fontId="1" fillId="0" borderId="0" xfId="0" applyNumberFormat="1" applyFont="1" applyAlignment="1">
      <alignment horizontal="left" vertical="center"/>
    </xf>
    <xf numFmtId="0" fontId="4" fillId="3" borderId="0" xfId="2" applyNumberFormat="1" applyAlignment="1">
      <alignment horizontal="left" vertical="center"/>
    </xf>
    <xf numFmtId="49" fontId="4" fillId="3" borderId="0" xfId="2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164" fontId="0" fillId="0" borderId="0" xfId="0" applyNumberFormat="1" applyAlignment="1">
      <alignment horizontal="left" vertical="center"/>
    </xf>
    <xf numFmtId="0" fontId="0" fillId="5" borderId="0" xfId="0" applyFill="1"/>
    <xf numFmtId="164" fontId="1" fillId="0" borderId="0" xfId="0" applyNumberFormat="1" applyFont="1" applyAlignment="1">
      <alignment horizontal="left" vertical="center"/>
    </xf>
    <xf numFmtId="0" fontId="4" fillId="3" borderId="0" xfId="2" applyAlignment="1">
      <alignment horizontal="left" vertical="center" wrapText="1"/>
    </xf>
    <xf numFmtId="0" fontId="1" fillId="7" borderId="0" xfId="0" applyFont="1" applyFill="1" applyAlignment="1">
      <alignment horizontal="left" vertical="center"/>
    </xf>
    <xf numFmtId="165" fontId="1" fillId="0" borderId="0" xfId="0" applyNumberFormat="1" applyFont="1" applyAlignment="1">
      <alignment horizontal="left" vertical="center"/>
    </xf>
    <xf numFmtId="165" fontId="4" fillId="3" borderId="0" xfId="2" applyNumberFormat="1" applyAlignment="1">
      <alignment horizontal="left" vertical="center"/>
    </xf>
    <xf numFmtId="1" fontId="4" fillId="3" borderId="0" xfId="2" applyNumberFormat="1"/>
    <xf numFmtId="0" fontId="0" fillId="6" borderId="0" xfId="0" applyFill="1"/>
    <xf numFmtId="21" fontId="0" fillId="0" borderId="0" xfId="0" applyNumberFormat="1" applyAlignment="1">
      <alignment horizontal="left" vertical="center"/>
    </xf>
    <xf numFmtId="164" fontId="1" fillId="0" borderId="0" xfId="0" applyNumberFormat="1" applyFont="1" applyAlignment="1">
      <alignment horizontal="left" vertical="center" wrapText="1"/>
    </xf>
    <xf numFmtId="2" fontId="1" fillId="0" borderId="0" xfId="0" applyNumberFormat="1" applyFont="1" applyAlignment="1">
      <alignment horizontal="left" vertical="center" wrapText="1"/>
    </xf>
    <xf numFmtId="21" fontId="4" fillId="3" borderId="0" xfId="2" applyNumberFormat="1" applyAlignment="1">
      <alignment horizontal="left" vertical="center"/>
    </xf>
    <xf numFmtId="164" fontId="4" fillId="3" borderId="0" xfId="2" applyNumberFormat="1" applyAlignment="1">
      <alignment horizontal="left" vertical="center" wrapText="1"/>
    </xf>
    <xf numFmtId="0" fontId="4" fillId="3" borderId="0" xfId="2" applyNumberFormat="1" applyAlignment="1">
      <alignment horizontal="left" vertical="center" wrapText="1"/>
    </xf>
    <xf numFmtId="2" fontId="4" fillId="3" borderId="0" xfId="2" applyNumberFormat="1" applyAlignment="1">
      <alignment horizontal="left" vertical="center" wrapText="1"/>
    </xf>
    <xf numFmtId="0" fontId="10" fillId="0" borderId="0" xfId="0" applyFont="1" applyAlignment="1">
      <alignment horizontal="left" vertical="center"/>
    </xf>
    <xf numFmtId="0" fontId="1" fillId="0" borderId="14" xfId="0" applyFont="1" applyBorder="1" applyAlignment="1">
      <alignment horizontal="left" vertical="center"/>
    </xf>
    <xf numFmtId="49" fontId="1" fillId="0" borderId="14" xfId="0" applyNumberFormat="1" applyFont="1" applyBorder="1" applyAlignment="1">
      <alignment horizontal="left" vertical="center" wrapText="1"/>
    </xf>
    <xf numFmtId="165" fontId="1" fillId="0" borderId="14" xfId="0" applyNumberFormat="1" applyFont="1" applyBorder="1" applyAlignment="1">
      <alignment horizontal="left" vertical="center"/>
    </xf>
    <xf numFmtId="0" fontId="1" fillId="0" borderId="14" xfId="0" applyFont="1" applyBorder="1" applyAlignment="1">
      <alignment horizontal="left" vertical="center" wrapText="1"/>
    </xf>
    <xf numFmtId="164" fontId="8" fillId="0" borderId="14" xfId="0" applyNumberFormat="1" applyFont="1" applyBorder="1" applyAlignment="1">
      <alignment horizontal="left" vertical="center"/>
    </xf>
    <xf numFmtId="164" fontId="1" fillId="0" borderId="14" xfId="0" applyNumberFormat="1" applyFont="1" applyBorder="1" applyAlignment="1">
      <alignment horizontal="left" vertical="center"/>
    </xf>
    <xf numFmtId="164" fontId="0" fillId="0" borderId="14" xfId="0" applyNumberFormat="1" applyBorder="1" applyAlignment="1">
      <alignment horizontal="left" vertical="center"/>
    </xf>
    <xf numFmtId="49" fontId="1" fillId="0" borderId="14" xfId="0" applyNumberFormat="1" applyFont="1" applyBorder="1" applyAlignment="1">
      <alignment horizontal="left" vertical="center"/>
    </xf>
    <xf numFmtId="2" fontId="1" fillId="0" borderId="14" xfId="0" applyNumberFormat="1" applyFont="1" applyBorder="1" applyAlignment="1">
      <alignment horizontal="left" vertical="center"/>
    </xf>
    <xf numFmtId="0" fontId="1" fillId="8" borderId="15" xfId="3" applyFont="1" applyAlignment="1">
      <alignment horizontal="left" vertical="center"/>
    </xf>
    <xf numFmtId="49" fontId="1" fillId="8" borderId="15" xfId="3" applyNumberFormat="1" applyFont="1" applyAlignment="1">
      <alignment horizontal="left" vertical="center" wrapText="1"/>
    </xf>
    <xf numFmtId="165" fontId="1" fillId="8" borderId="15" xfId="3" applyNumberFormat="1" applyFont="1" applyAlignment="1">
      <alignment horizontal="left" vertical="center"/>
    </xf>
    <xf numFmtId="164" fontId="8" fillId="8" borderId="15" xfId="3" applyNumberFormat="1" applyFont="1" applyAlignment="1">
      <alignment horizontal="left" vertical="center"/>
    </xf>
    <xf numFmtId="164" fontId="1" fillId="8" borderId="15" xfId="3" applyNumberFormat="1" applyFont="1" applyAlignment="1">
      <alignment horizontal="left" vertical="center"/>
    </xf>
    <xf numFmtId="2" fontId="1" fillId="8" borderId="15" xfId="3" applyNumberFormat="1" applyFont="1" applyAlignment="1">
      <alignment horizontal="left" vertical="center"/>
    </xf>
    <xf numFmtId="0" fontId="4" fillId="8" borderId="15" xfId="3" applyFont="1" applyAlignment="1">
      <alignment horizontal="left" vertical="center"/>
    </xf>
    <xf numFmtId="49" fontId="4" fillId="8" borderId="15" xfId="3" applyNumberFormat="1" applyFont="1" applyAlignment="1">
      <alignment horizontal="left" vertical="center" wrapText="1"/>
    </xf>
    <xf numFmtId="0" fontId="4" fillId="8" borderId="15" xfId="3" applyNumberFormat="1" applyFont="1" applyAlignment="1">
      <alignment horizontal="left" vertical="center"/>
    </xf>
    <xf numFmtId="165" fontId="4" fillId="8" borderId="15" xfId="3" applyNumberFormat="1" applyFont="1" applyAlignment="1">
      <alignment horizontal="left" vertical="center"/>
    </xf>
    <xf numFmtId="164" fontId="4" fillId="8" borderId="15" xfId="3" applyNumberFormat="1" applyFont="1" applyAlignment="1">
      <alignment horizontal="left" vertical="center"/>
    </xf>
    <xf numFmtId="2" fontId="4" fillId="8" borderId="15" xfId="3" applyNumberFormat="1" applyFont="1" applyAlignment="1">
      <alignment horizontal="left" vertical="center"/>
    </xf>
    <xf numFmtId="0" fontId="1" fillId="8" borderId="15" xfId="3" applyFont="1" applyAlignment="1">
      <alignment horizontal="left" vertical="center" wrapText="1"/>
    </xf>
    <xf numFmtId="49" fontId="1" fillId="8" borderId="15" xfId="3" applyNumberFormat="1" applyFont="1" applyAlignment="1">
      <alignment horizontal="left" vertical="center"/>
    </xf>
    <xf numFmtId="2" fontId="0" fillId="8" borderId="15" xfId="3" applyNumberFormat="1" applyFont="1" applyAlignment="1">
      <alignment horizontal="left" vertical="center"/>
    </xf>
    <xf numFmtId="0" fontId="4" fillId="8" borderId="15" xfId="3" applyFont="1" applyAlignment="1">
      <alignment horizontal="left" vertical="center" wrapText="1"/>
    </xf>
    <xf numFmtId="49" fontId="4" fillId="8" borderId="15" xfId="3" applyNumberFormat="1" applyFont="1" applyAlignment="1">
      <alignment horizontal="left" vertical="center"/>
    </xf>
    <xf numFmtId="0" fontId="0" fillId="8" borderId="15" xfId="3" applyFont="1" applyAlignment="1">
      <alignment horizontal="left" vertical="center"/>
    </xf>
    <xf numFmtId="0" fontId="0" fillId="8" borderId="15" xfId="3" applyFont="1" applyAlignment="1">
      <alignment horizontal="left" vertical="center" wrapText="1"/>
    </xf>
    <xf numFmtId="165" fontId="0" fillId="8" borderId="15" xfId="3" applyNumberFormat="1" applyFont="1" applyAlignment="1">
      <alignment horizontal="left" vertical="center"/>
    </xf>
    <xf numFmtId="164" fontId="0" fillId="8" borderId="15" xfId="3" applyNumberFormat="1" applyFont="1" applyAlignment="1">
      <alignment horizontal="left" vertical="center"/>
    </xf>
    <xf numFmtId="0" fontId="9" fillId="8" borderId="15" xfId="3" applyFont="1" applyAlignment="1">
      <alignment horizontal="left" vertical="center"/>
    </xf>
    <xf numFmtId="0" fontId="0" fillId="8" borderId="15" xfId="3" applyFont="1" applyAlignment="1">
      <alignment wrapText="1"/>
    </xf>
    <xf numFmtId="0" fontId="4" fillId="8" borderId="15" xfId="3" applyFont="1" applyAlignment="1">
      <alignment wrapText="1"/>
    </xf>
    <xf numFmtId="20" fontId="0" fillId="8" borderId="15" xfId="3" applyNumberFormat="1" applyFont="1" applyAlignment="1">
      <alignment horizontal="left" vertical="center"/>
    </xf>
    <xf numFmtId="0" fontId="7" fillId="6" borderId="0" xfId="0" applyFont="1" applyFill="1"/>
    <xf numFmtId="0" fontId="12" fillId="4" borderId="12" xfId="0" applyFont="1" applyFill="1" applyBorder="1" applyAlignment="1">
      <alignment horizontal="left" vertical="center"/>
    </xf>
    <xf numFmtId="0" fontId="12" fillId="7" borderId="12" xfId="0" applyFont="1" applyFill="1" applyBorder="1" applyAlignment="1">
      <alignment horizontal="left" vertical="center"/>
    </xf>
    <xf numFmtId="0" fontId="12" fillId="4" borderId="12" xfId="0" applyFont="1" applyFill="1" applyBorder="1" applyAlignment="1">
      <alignment horizontal="left" vertical="center" wrapText="1"/>
    </xf>
    <xf numFmtId="0" fontId="13" fillId="0" borderId="0" xfId="0" applyFont="1"/>
    <xf numFmtId="0" fontId="13" fillId="0" borderId="0" xfId="0" applyFont="1" applyAlignment="1">
      <alignment horizontal="left" vertical="center"/>
    </xf>
    <xf numFmtId="49" fontId="14" fillId="0" borderId="0" xfId="0" applyNumberFormat="1" applyFont="1" applyAlignment="1">
      <alignment horizontal="left" vertical="center" wrapText="1"/>
    </xf>
    <xf numFmtId="0" fontId="14" fillId="0" borderId="0" xfId="0" applyFont="1" applyAlignment="1">
      <alignment horizontal="left" vertical="center"/>
    </xf>
    <xf numFmtId="2" fontId="14" fillId="0" borderId="0" xfId="0" applyNumberFormat="1" applyFont="1" applyAlignment="1">
      <alignment horizontal="left" vertical="center"/>
    </xf>
    <xf numFmtId="166" fontId="13" fillId="0" borderId="0" xfId="0" applyNumberFormat="1" applyFont="1" applyAlignment="1">
      <alignment horizontal="left" vertical="center"/>
    </xf>
    <xf numFmtId="2" fontId="13" fillId="0" borderId="0" xfId="0" applyNumberFormat="1" applyFont="1" applyAlignment="1">
      <alignment horizontal="left" vertical="center"/>
    </xf>
    <xf numFmtId="21" fontId="13" fillId="0" borderId="0" xfId="0" applyNumberFormat="1" applyFont="1" applyAlignment="1">
      <alignment horizontal="left" vertical="center"/>
    </xf>
    <xf numFmtId="0" fontId="13" fillId="0" borderId="0" xfId="0" applyFont="1" applyAlignment="1">
      <alignment horizontal="left" vertical="center" wrapText="1"/>
    </xf>
    <xf numFmtId="0" fontId="15" fillId="0" borderId="0" xfId="0" applyFont="1"/>
    <xf numFmtId="0" fontId="16" fillId="0" borderId="0" xfId="0" applyFont="1" applyAlignment="1">
      <alignment horizontal="left" vertical="center"/>
    </xf>
    <xf numFmtId="0" fontId="16" fillId="0" borderId="0" xfId="0" applyFont="1" applyAlignment="1">
      <alignment horizontal="left" vertical="center" wrapText="1"/>
    </xf>
    <xf numFmtId="21" fontId="0" fillId="0" borderId="0" xfId="0" applyNumberFormat="1"/>
    <xf numFmtId="21" fontId="16" fillId="0" borderId="0" xfId="0" applyNumberFormat="1" applyFont="1" applyAlignment="1">
      <alignment horizontal="left" vertical="center"/>
    </xf>
    <xf numFmtId="0" fontId="0" fillId="0" borderId="16" xfId="0" applyBorder="1"/>
    <xf numFmtId="2" fontId="16" fillId="0" borderId="0" xfId="0" applyNumberFormat="1" applyFont="1" applyAlignment="1">
      <alignment horizontal="left" vertical="center"/>
    </xf>
    <xf numFmtId="0" fontId="17" fillId="9" borderId="17" xfId="0" applyFont="1" applyFill="1" applyBorder="1"/>
    <xf numFmtId="0" fontId="0" fillId="0" borderId="0" xfId="0" applyAlignment="1">
      <alignment horizontal="right"/>
    </xf>
    <xf numFmtId="166" fontId="18" fillId="0" borderId="0" xfId="0" applyNumberFormat="1" applyFont="1" applyAlignment="1">
      <alignment horizontal="left" vertical="center"/>
    </xf>
    <xf numFmtId="0" fontId="12" fillId="4" borderId="0" xfId="0" applyFont="1" applyFill="1" applyAlignment="1">
      <alignment horizontal="left" vertical="center" wrapText="1"/>
    </xf>
    <xf numFmtId="2" fontId="14" fillId="0" borderId="0" xfId="0" applyNumberFormat="1" applyFont="1" applyAlignment="1">
      <alignment horizontal="left" vertical="center" wrapText="1"/>
    </xf>
    <xf numFmtId="49" fontId="19" fillId="0" borderId="0" xfId="0" applyNumberFormat="1" applyFont="1" applyAlignment="1">
      <alignment horizontal="left" vertical="center" wrapText="1"/>
    </xf>
    <xf numFmtId="166" fontId="20" fillId="0" borderId="0" xfId="0" applyNumberFormat="1" applyFont="1" applyAlignment="1">
      <alignment horizontal="left" vertical="center"/>
    </xf>
    <xf numFmtId="166" fontId="4" fillId="3" borderId="0" xfId="2" applyNumberFormat="1" applyAlignment="1">
      <alignment horizontal="left" vertical="center"/>
    </xf>
    <xf numFmtId="0" fontId="21" fillId="10" borderId="0" xfId="0" applyFont="1" applyFill="1" applyAlignment="1">
      <alignment horizontal="center" textRotation="90"/>
    </xf>
    <xf numFmtId="0" fontId="0" fillId="0" borderId="1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5" borderId="0" xfId="0" applyFont="1" applyFill="1" applyAlignment="1">
      <alignment horizontal="center"/>
    </xf>
  </cellXfs>
  <cellStyles count="4">
    <cellStyle name="Dårlig" xfId="2" builtinId="27"/>
    <cellStyle name="God" xfId="1" builtinId="26"/>
    <cellStyle name="Merknad" xfId="3" builtinId="10"/>
    <cellStyle name="Normal" xfId="0" builtinId="0"/>
  </cellStyles>
  <dxfs count="20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" formatCode="0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1A1A1A"/>
        <name val="OpenSans"/>
        <scheme val="none"/>
      </font>
      <fill>
        <patternFill patternType="solid">
          <fgColor theme="4"/>
          <bgColor theme="4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1A1A1A"/>
        <name val="OpenSans"/>
        <scheme val="none"/>
      </font>
      <numFmt numFmtId="2" formatCode="0.00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1A1A1A"/>
        <name val="OpenSans"/>
        <scheme val="none"/>
      </font>
      <numFmt numFmtId="2" formatCode="0.00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1A1A1A"/>
        <name val="OpenSans"/>
        <scheme val="none"/>
      </font>
      <numFmt numFmtId="2" formatCode="0.00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1A1A1A"/>
        <name val="OpenSans"/>
        <scheme val="none"/>
      </font>
      <numFmt numFmtId="2" formatCode="0.00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1A1A1A"/>
        <name val="OpenSans"/>
        <scheme val="none"/>
      </font>
      <numFmt numFmtId="2" formatCode="0.00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1A1A1A"/>
        <name val="OpenSans"/>
        <scheme val="none"/>
      </font>
      <numFmt numFmtId="2" formatCode="0.00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1A1A1A"/>
        <name val="OpenSans"/>
        <scheme val="none"/>
      </font>
      <numFmt numFmtId="2" formatCode="0.00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1A1A1A"/>
        <name val="OpenSans"/>
        <scheme val="none"/>
      </font>
      <numFmt numFmtId="2" formatCode="0.00"/>
      <alignment horizontal="left" vertical="center" textRotation="0" wrapText="1" indent="0" justifyLastLine="0" shrinkToFit="0" readingOrder="0"/>
    </dxf>
    <dxf>
      <numFmt numFmtId="2" formatCode="0.00"/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1A1A1A"/>
        <name val="OpenSans"/>
        <scheme val="none"/>
      </font>
      <numFmt numFmtId="0" formatCode="General"/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1A1A1A"/>
        <name val="OpenSans"/>
        <scheme val="none"/>
      </font>
      <numFmt numFmtId="164" formatCode="0.0000"/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1A1A1A"/>
        <name val="OpenSans"/>
        <scheme val="none"/>
      </font>
      <numFmt numFmtId="164" formatCode="0.0000"/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1A1A1A"/>
        <name val="OpenSans"/>
        <scheme val="none"/>
      </font>
      <numFmt numFmtId="164" formatCode="0.0000"/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1A1A1A"/>
        <name val="OpenSans"/>
        <scheme val="none"/>
      </font>
      <numFmt numFmtId="164" formatCode="0.0000"/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1A1A1A"/>
        <name val="OpenSans"/>
        <scheme val="none"/>
      </font>
      <numFmt numFmtId="164" formatCode="0.0000"/>
      <alignment horizontal="left" vertical="center" textRotation="0" wrapText="1" indent="0" justifyLastLine="0" shrinkToFit="0" readingOrder="0"/>
    </dxf>
    <dxf>
      <font>
        <color rgb="FF1A1A1A"/>
        <name val="OpenSans"/>
        <scheme val="none"/>
      </font>
      <numFmt numFmtId="164" formatCode="0.0000"/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1A1A1A"/>
        <name val="OpenSans"/>
        <scheme val="none"/>
      </font>
      <numFmt numFmtId="164" formatCode="0.0000"/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1A1A1A"/>
        <name val="OpenSans"/>
        <scheme val="none"/>
      </font>
      <numFmt numFmtId="164" formatCode="0.0000"/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1A1A1A"/>
        <name val="OpenSans"/>
        <scheme val="none"/>
      </font>
      <numFmt numFmtId="164" formatCode="0.0000"/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1A1A1A"/>
        <name val="OpenSans"/>
        <scheme val="none"/>
      </font>
      <numFmt numFmtId="164" formatCode="0.0000"/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1A1A1A"/>
        <name val="OpenSans"/>
        <scheme val="none"/>
      </font>
      <alignment horizontal="left" vertical="center" textRotation="0" wrapText="1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1A1A1A"/>
        <name val="OpenSans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1A1A1A"/>
        <name val="OpenSans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1A1A1A"/>
        <name val="OpenSans"/>
        <scheme val="none"/>
      </font>
      <alignment horizontal="left" vertical="center" textRotation="0" wrapText="1" indent="0" justifyLastLine="0" shrinkToFit="0" readingOrder="0"/>
    </dxf>
    <dxf>
      <numFmt numFmtId="0" formatCode="General"/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1A1A1A"/>
        <name val="OpenSans"/>
        <scheme val="none"/>
      </font>
      <numFmt numFmtId="0" formatCode="General"/>
      <alignment horizontal="left" vertical="center" textRotation="0" wrapText="1" indent="0" justifyLastLine="0" shrinkToFit="0" readingOrder="0"/>
    </dxf>
    <dxf>
      <numFmt numFmtId="0" formatCode="General"/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1A1A1A"/>
        <name val="OpenSans"/>
        <scheme val="none"/>
      </font>
      <numFmt numFmtId="2" formatCode="0.00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1A1A1A"/>
        <name val="OpenSans"/>
        <scheme val="none"/>
      </font>
      <numFmt numFmtId="2" formatCode="0.00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1A1A1A"/>
        <name val="OpenSans"/>
        <scheme val="none"/>
      </font>
      <numFmt numFmtId="2" formatCode="0.00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1A1A1A"/>
        <name val="OpenSans"/>
        <scheme val="none"/>
      </font>
      <numFmt numFmtId="2" formatCode="0.00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1A1A1A"/>
        <name val="OpenSans"/>
        <scheme val="none"/>
      </font>
      <numFmt numFmtId="2" formatCode="0.00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1A1A1A"/>
        <name val="OpenSans"/>
        <scheme val="none"/>
      </font>
      <numFmt numFmtId="2" formatCode="0.00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1A1A1A"/>
        <name val="OpenSans"/>
        <scheme val="none"/>
      </font>
      <numFmt numFmtId="2" formatCode="0.00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1A1A1A"/>
        <name val="OpenSans"/>
        <scheme val="none"/>
      </font>
      <numFmt numFmtId="2" formatCode="0.00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1A1A1A"/>
        <name val="OpenSans"/>
        <scheme val="none"/>
      </font>
      <numFmt numFmtId="2" formatCode="0.00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1A1A1A"/>
        <name val="OpenSans"/>
        <scheme val="none"/>
      </font>
      <numFmt numFmtId="2" formatCode="0.00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1A1A1A"/>
        <name val="OpenSans"/>
        <scheme val="none"/>
      </font>
      <numFmt numFmtId="30" formatCode="@"/>
      <alignment horizontal="left" vertical="center" textRotation="0" wrapText="0" indent="0" justifyLastLine="0" shrinkToFit="0" readingOrder="0"/>
    </dxf>
    <dxf>
      <numFmt numFmtId="164" formatCode="0.0000"/>
      <alignment horizontal="left" vertical="center" textRotation="0" wrapText="0" indent="0" justifyLastLine="0" shrinkToFit="0" readingOrder="0"/>
    </dxf>
    <dxf>
      <numFmt numFmtId="164" formatCode="0.0000"/>
      <alignment horizontal="left" vertical="center" textRotation="0" wrapText="0" indent="0" justifyLastLine="0" shrinkToFit="0" readingOrder="0"/>
    </dxf>
    <dxf>
      <numFmt numFmtId="164" formatCode="0.0000"/>
      <alignment horizontal="left" vertical="center" textRotation="0" wrapText="0" indent="0" justifyLastLine="0" shrinkToFit="0" readingOrder="0"/>
    </dxf>
    <dxf>
      <numFmt numFmtId="164" formatCode="0.0000"/>
      <alignment horizontal="left" vertical="center" textRotation="0" wrapText="0" indent="0" justifyLastLine="0" shrinkToFit="0" readingOrder="0"/>
    </dxf>
    <dxf>
      <numFmt numFmtId="164" formatCode="0.0000"/>
      <alignment horizontal="left" vertical="center" textRotation="0" wrapText="0" indent="0" justifyLastLine="0" shrinkToFit="0" readingOrder="0"/>
    </dxf>
    <dxf>
      <numFmt numFmtId="164" formatCode="0.0000"/>
      <alignment horizontal="left" vertical="center" textRotation="0" wrapText="0" indent="0" justifyLastLine="0" shrinkToFit="0" readingOrder="0"/>
    </dxf>
    <dxf>
      <numFmt numFmtId="164" formatCode="0.0000"/>
      <alignment horizontal="left" vertical="center" textRotation="0" wrapText="0" indent="0" justifyLastLine="0" shrinkToFit="0" readingOrder="0"/>
    </dxf>
    <dxf>
      <numFmt numFmtId="164" formatCode="0.0000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1A1A1A"/>
        <name val="OpenSans"/>
        <scheme val="none"/>
      </font>
      <numFmt numFmtId="164" formatCode="0.0000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1A1A1A"/>
        <name val="OpenSans"/>
        <scheme val="none"/>
      </font>
      <numFmt numFmtId="164" formatCode="0.0000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1A1A1A"/>
        <name val="OpenSans"/>
        <scheme val="none"/>
      </font>
      <numFmt numFmtId="164" formatCode="0.0000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OpenSans"/>
        <scheme val="none"/>
      </font>
      <numFmt numFmtId="164" formatCode="0.0000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1A1A1A"/>
        <name val="OpenSans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1A1A1A"/>
        <name val="OpenSans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1A1A1A"/>
        <name val="OpenSans"/>
        <scheme val="none"/>
      </font>
      <numFmt numFmtId="165" formatCode="[h]:mm:ss;@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1A1A1A"/>
        <name val="OpenSans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1A1A1A"/>
        <name val="OpenSans"/>
        <scheme val="none"/>
      </font>
      <numFmt numFmtId="0" formatCode="General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1A1A1A"/>
        <name val="OpenSans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1A1A1A"/>
        <name val="OpenSans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1A1A1A"/>
        <name val="OpenSans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1A1A1A"/>
        <name val="OpenSans"/>
        <scheme val="none"/>
      </font>
      <numFmt numFmtId="0" formatCode="General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1A1A1A"/>
        <name val="OpenSans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1A1A1A"/>
        <name val="OpenSans"/>
        <scheme val="none"/>
      </font>
      <numFmt numFmtId="30" formatCode="@"/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1A1A1A"/>
        <name val="OpenSans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1A1A1A"/>
        <name val="OpenSans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1A1A1A"/>
        <name val="OpenSans"/>
        <scheme val="none"/>
      </font>
      <alignment horizontal="left" vertical="center" textRotation="0" wrapText="0" indent="0" justifyLastLine="0" shrinkToFit="0" readingOrder="0"/>
      <border diagonalUp="0" diagonalDown="0" outline="0">
        <left style="medium">
          <color rgb="FFA9A9A9"/>
        </left>
        <right style="medium">
          <color rgb="FFA9A9A9"/>
        </right>
        <top/>
        <bottom/>
      </border>
    </dxf>
    <dxf>
      <border outline="0">
        <top style="thin">
          <color theme="1"/>
        </top>
      </border>
    </dxf>
    <dxf>
      <border outline="0">
        <bottom style="thin">
          <color theme="1"/>
        </bottom>
      </border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badi Extra Light"/>
        <scheme val="none"/>
      </font>
      <numFmt numFmtId="2" formatCode="0.00"/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badi Extra Light"/>
        <scheme val="none"/>
      </font>
      <numFmt numFmtId="2" formatCode="0.00"/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badi Extra Light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badi Extra Light"/>
        <scheme val="none"/>
      </font>
      <numFmt numFmtId="2" formatCode="0.00"/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badi Extra Light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badi Extra Light"/>
        <scheme val="none"/>
      </font>
      <numFmt numFmtId="2" formatCode="0.00"/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badi Extra Light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badi Extra Light"/>
        <scheme val="none"/>
      </font>
      <numFmt numFmtId="2" formatCode="0.00"/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badi Extra Light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badi Extra Light"/>
        <scheme val="none"/>
      </font>
      <numFmt numFmtId="2" formatCode="0.00"/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badi Extra Light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badi Extra Light"/>
        <scheme val="none"/>
      </font>
      <numFmt numFmtId="2" formatCode="0.00"/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badi Extra Light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badi Extra Light"/>
        <scheme val="none"/>
      </font>
      <numFmt numFmtId="2" formatCode="0.00"/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badi Extra Light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badi Extra Light"/>
        <scheme val="none"/>
      </font>
      <numFmt numFmtId="2" formatCode="0.00"/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badi Extra Light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badi Extra Light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badi Extra Light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badi Extra Light"/>
        <scheme val="none"/>
      </font>
      <numFmt numFmtId="166" formatCode="0.000"/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badi Extra Light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badi Extra Light"/>
        <scheme val="none"/>
      </font>
      <numFmt numFmtId="166" formatCode="0.000"/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badi Extra Light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badi Extra Light"/>
        <scheme val="none"/>
      </font>
      <numFmt numFmtId="166" formatCode="0.000"/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badi Extra Light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badi Extra Light"/>
        <scheme val="none"/>
      </font>
      <numFmt numFmtId="166" formatCode="0.000"/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badi Extra Light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badi Extra Light"/>
        <scheme val="none"/>
      </font>
      <numFmt numFmtId="166" formatCode="0.000"/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badi Extra Light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badi Extra Light"/>
        <scheme val="none"/>
      </font>
      <numFmt numFmtId="166" formatCode="0.000"/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badi Extra Light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badi Extra Light"/>
        <scheme val="none"/>
      </font>
      <numFmt numFmtId="166" formatCode="0.000"/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badi Extra Light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badi Extra Light"/>
        <scheme val="none"/>
      </font>
      <numFmt numFmtId="166" formatCode="0.000"/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badi Extra Light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badi Extra Light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badi Extra Light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badi Extra Light"/>
        <scheme val="none"/>
      </font>
      <numFmt numFmtId="26" formatCode="hh:mm:ss"/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badi Extra Light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badi Extra Light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badi Extra Light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badi Extra Light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badi Extra Light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badi Extra Light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badi Extra Light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badi Extra Light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badi Extra Light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badi Extra Light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badi Extra Light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badi Extra Light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badi Extra Light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badi Extra Light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badi Extra Light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badi Extra Light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badi Extra Light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badi Extra Light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badi Extra Light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badi Extra Light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badi Extra Light"/>
        <scheme val="none"/>
      </font>
      <alignment horizontal="lef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badi Extra Light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badi Extra Light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badi Extra Light"/>
        <scheme val="none"/>
      </font>
      <alignment horizontal="left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badi Extra Light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1A1A1A"/>
        <name val="Abadi Extra Light"/>
        <family val="2"/>
        <scheme val="none"/>
      </font>
      <numFmt numFmtId="2" formatCode="0.00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1A1A1A"/>
        <name val="Abadi Extra Light"/>
        <family val="2"/>
        <scheme val="none"/>
      </font>
      <numFmt numFmtId="2" formatCode="0.00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1A1A1A"/>
        <name val="Abadi Extra Light"/>
        <family val="2"/>
        <scheme val="none"/>
      </font>
      <numFmt numFmtId="2" formatCode="0.00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1A1A1A"/>
        <name val="Abadi Extra Light"/>
        <family val="2"/>
        <scheme val="none"/>
      </font>
      <numFmt numFmtId="2" formatCode="0.00"/>
      <alignment horizontal="lef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badi Extra Light"/>
        <family val="2"/>
        <scheme val="none"/>
      </font>
      <numFmt numFmtId="2" formatCode="0.00"/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1A1A1A"/>
        <name val="Abadi Extra Light"/>
        <family val="2"/>
        <scheme val="none"/>
      </font>
      <numFmt numFmtId="2" formatCode="0.00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1A1A1A"/>
        <name val="Abadi Extra Light"/>
        <family val="2"/>
        <scheme val="none"/>
      </font>
      <numFmt numFmtId="2" formatCode="0.00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1A1A1A"/>
        <name val="Abadi Extra Light"/>
        <family val="2"/>
        <scheme val="none"/>
      </font>
      <numFmt numFmtId="2" formatCode="0.00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1A1A1A"/>
        <name val="Abadi Extra Light"/>
        <family val="2"/>
        <scheme val="none"/>
      </font>
      <numFmt numFmtId="2" formatCode="0.00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1A1A1A"/>
        <name val="Abadi Extra Light"/>
        <family val="2"/>
        <scheme val="none"/>
      </font>
      <numFmt numFmtId="2" formatCode="0.00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1A1A1A"/>
        <name val="Abadi Extra Light"/>
        <family val="2"/>
        <scheme val="none"/>
      </font>
      <numFmt numFmtId="2" formatCode="0.00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1A1A1A"/>
        <name val="Abadi Extra Light"/>
        <family val="2"/>
        <scheme val="none"/>
      </font>
      <numFmt numFmtId="2" formatCode="0.00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1A1A1A"/>
        <name val="Abadi Extra Light"/>
        <family val="2"/>
        <scheme val="none"/>
      </font>
      <numFmt numFmtId="2" formatCode="0.00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1A1A1A"/>
        <name val="Abadi Extra Light"/>
        <family val="2"/>
        <scheme val="none"/>
      </font>
      <numFmt numFmtId="0" formatCode="General"/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badi Extra Light"/>
        <family val="2"/>
        <scheme val="none"/>
      </font>
      <numFmt numFmtId="166" formatCode="0.000"/>
      <alignment horizontal="left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badi Extra Light"/>
        <family val="2"/>
        <scheme val="none"/>
      </font>
      <numFmt numFmtId="166" formatCode="0.000"/>
      <alignment horizontal="left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badi Extra Light"/>
        <family val="2"/>
        <scheme val="none"/>
      </font>
      <numFmt numFmtId="166" formatCode="0.000"/>
      <alignment horizontal="left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badi Extra Light"/>
        <family val="2"/>
        <scheme val="none"/>
      </font>
      <numFmt numFmtId="166" formatCode="0.000"/>
      <alignment horizontal="left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badi Extra Light"/>
        <family val="2"/>
        <scheme val="none"/>
      </font>
      <numFmt numFmtId="166" formatCode="0.000"/>
      <alignment horizontal="left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badi Extra Light"/>
        <family val="2"/>
        <scheme val="none"/>
      </font>
      <numFmt numFmtId="166" formatCode="0.000"/>
      <alignment horizontal="left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badi Extra Light"/>
        <family val="2"/>
        <scheme val="none"/>
      </font>
      <numFmt numFmtId="166" formatCode="0.000"/>
      <alignment horizontal="left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badi Extra Light"/>
        <family val="2"/>
        <scheme val="none"/>
      </font>
      <numFmt numFmtId="166" formatCode="0.000"/>
      <alignment horizontal="left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badi Extra Light"/>
        <family val="2"/>
        <scheme val="none"/>
      </font>
      <numFmt numFmtId="166" formatCode="0.000"/>
      <alignment horizontal="left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badi Extra Light"/>
        <family val="2"/>
        <scheme val="none"/>
      </font>
      <numFmt numFmtId="166" formatCode="0.000"/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badi Extra Light"/>
        <family val="2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badi Extra Light"/>
        <family val="2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badi Extra Light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badi Extra Light"/>
        <family val="2"/>
        <scheme val="none"/>
      </font>
      <alignment horizontal="left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badi Extra Light"/>
        <family val="2"/>
        <scheme val="none"/>
      </font>
      <alignment horizontal="left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badi Extra Light"/>
        <family val="2"/>
        <scheme val="none"/>
      </font>
      <alignment horizontal="left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badi Extra Light"/>
        <family val="2"/>
        <scheme val="none"/>
      </font>
      <alignment horizontal="left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badi Extra Light"/>
        <family val="2"/>
        <scheme val="none"/>
      </font>
      <alignment horizontal="left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badi Extra Light"/>
        <family val="2"/>
        <scheme val="none"/>
      </font>
      <alignment horizontal="left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badi Extra Light"/>
        <family val="2"/>
        <scheme val="none"/>
      </font>
      <numFmt numFmtId="0" formatCode="General"/>
      <alignment horizontal="left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badi Extra Light"/>
        <family val="2"/>
        <scheme val="none"/>
      </font>
      <alignment horizontal="left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badi Extra Light"/>
        <family val="2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1A1A1A"/>
        <name val="Abadi Extra Light"/>
        <family val="2"/>
        <scheme val="none"/>
      </font>
      <numFmt numFmtId="30" formatCode="@"/>
      <alignment horizontal="lef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badi Extra Light"/>
        <family val="2"/>
        <scheme val="none"/>
      </font>
      <alignment horizontal="left" vertical="center" textRotation="0" wrapText="0" indent="0" justifyLastLine="0" shrinkToFit="0" readingOrder="0"/>
    </dxf>
    <dxf>
      <border outline="0">
        <left style="thin">
          <color theme="4" tint="0.39997558519241921"/>
        </left>
        <right style="thin">
          <color theme="4" tint="0.39997558519241921"/>
        </right>
      </border>
    </dxf>
    <dxf>
      <font>
        <strike val="0"/>
        <outline val="0"/>
        <shadow val="0"/>
        <u val="none"/>
        <vertAlign val="baseline"/>
        <sz val="12"/>
        <name val="Abadi Extra Light"/>
        <family val="2"/>
        <scheme val="none"/>
      </font>
      <alignment horizontal="left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1A1A1A"/>
        <name val="Abadi Extra Light"/>
        <family val="2"/>
        <scheme val="none"/>
      </font>
      <fill>
        <patternFill patternType="solid">
          <fgColor theme="4"/>
          <bgColor theme="4"/>
        </patternFill>
      </fill>
      <alignment horizontal="left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Validation scores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'Old Experiments'!$O$59</c:f>
              <c:strCache>
                <c:ptCount val="1"/>
                <c:pt idx="0">
                  <c:v>AUC val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'Old Experiments'!$F$60:$F$64</c:f>
              <c:strCache>
                <c:ptCount val="5"/>
                <c:pt idx="0">
                  <c:v>B1_800_multiclass20_lvl_bs_25_0.0005</c:v>
                </c:pt>
                <c:pt idx="1">
                  <c:v>B2_800_multiclass20_lvl_bs_25_0.0005</c:v>
                </c:pt>
                <c:pt idx="2">
                  <c:v>B2_800_multiclass20_lvl_bs_25_0.00001</c:v>
                </c:pt>
                <c:pt idx="3">
                  <c:v>B2_800_multiclass20_lvl_bs_25_0.001</c:v>
                </c:pt>
                <c:pt idx="4">
                  <c:v>B2_800_multiclass20_lvl_bs_25_0.0001</c:v>
                </c:pt>
              </c:strCache>
            </c:strRef>
          </c:cat>
          <c:val>
            <c:numRef>
              <c:f>'Old Experiments'!$O$60:$O$64</c:f>
              <c:numCache>
                <c:formatCode>0.0000</c:formatCode>
                <c:ptCount val="5"/>
                <c:pt idx="0">
                  <c:v>0.82850796000000004</c:v>
                </c:pt>
                <c:pt idx="1">
                  <c:v>0.81432647000000002</c:v>
                </c:pt>
                <c:pt idx="2">
                  <c:v>0.76612884000000003</c:v>
                </c:pt>
                <c:pt idx="3">
                  <c:v>0.77887636000000005</c:v>
                </c:pt>
                <c:pt idx="4">
                  <c:v>0.77455914000000003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35-417D-A411-5793902EE628}"/>
            </c:ext>
          </c:extLst>
        </c:ser>
        <c:ser>
          <c:idx val="1"/>
          <c:order val="1"/>
          <c:tx>
            <c:strRef>
              <c:f>'Old Experiments'!$P$59</c:f>
              <c:strCache>
                <c:ptCount val="1"/>
                <c:pt idx="0">
                  <c:v>roc_auc val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'Old Experiments'!$F$60:$F$64</c:f>
              <c:strCache>
                <c:ptCount val="5"/>
                <c:pt idx="0">
                  <c:v>B1_800_multiclass20_lvl_bs_25_0.0005</c:v>
                </c:pt>
                <c:pt idx="1">
                  <c:v>B2_800_multiclass20_lvl_bs_25_0.0005</c:v>
                </c:pt>
                <c:pt idx="2">
                  <c:v>B2_800_multiclass20_lvl_bs_25_0.00001</c:v>
                </c:pt>
                <c:pt idx="3">
                  <c:v>B2_800_multiclass20_lvl_bs_25_0.001</c:v>
                </c:pt>
                <c:pt idx="4">
                  <c:v>B2_800_multiclass20_lvl_bs_25_0.0001</c:v>
                </c:pt>
              </c:strCache>
            </c:strRef>
          </c:cat>
          <c:val>
            <c:numRef>
              <c:f>'Old Experiments'!$P$60:$P$64</c:f>
              <c:numCache>
                <c:formatCode>0.0000</c:formatCode>
                <c:ptCount val="5"/>
                <c:pt idx="0">
                  <c:v>0.81885341736656603</c:v>
                </c:pt>
                <c:pt idx="1">
                  <c:v>0.80748845197115604</c:v>
                </c:pt>
                <c:pt idx="2">
                  <c:v>0.72383831733760096</c:v>
                </c:pt>
                <c:pt idx="3">
                  <c:v>0.761086209142949</c:v>
                </c:pt>
                <c:pt idx="4">
                  <c:v>0.74536885865592595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35-417D-A411-5793902EE628}"/>
            </c:ext>
          </c:extLst>
        </c:ser>
        <c:ser>
          <c:idx val="2"/>
          <c:order val="2"/>
          <c:tx>
            <c:strRef>
              <c:f>'Old Experiments'!$Q$59</c:f>
              <c:strCache>
                <c:ptCount val="1"/>
                <c:pt idx="0">
                  <c:v>Binary acc val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'Old Experiments'!$F$60:$F$64</c:f>
              <c:strCache>
                <c:ptCount val="5"/>
                <c:pt idx="0">
                  <c:v>B1_800_multiclass20_lvl_bs_25_0.0005</c:v>
                </c:pt>
                <c:pt idx="1">
                  <c:v>B2_800_multiclass20_lvl_bs_25_0.0005</c:v>
                </c:pt>
                <c:pt idx="2">
                  <c:v>B2_800_multiclass20_lvl_bs_25_0.00001</c:v>
                </c:pt>
                <c:pt idx="3">
                  <c:v>B2_800_multiclass20_lvl_bs_25_0.001</c:v>
                </c:pt>
                <c:pt idx="4">
                  <c:v>B2_800_multiclass20_lvl_bs_25_0.0001</c:v>
                </c:pt>
              </c:strCache>
            </c:strRef>
          </c:cat>
          <c:val>
            <c:numRef>
              <c:f>'Old Experiments'!$Q$60:$Q$64</c:f>
              <c:numCache>
                <c:formatCode>0.0000</c:formatCode>
                <c:ptCount val="5"/>
                <c:pt idx="0">
                  <c:v>0.80586080000000004</c:v>
                </c:pt>
                <c:pt idx="1">
                  <c:v>0.79304034000000001</c:v>
                </c:pt>
                <c:pt idx="2">
                  <c:v>0.73443230000000004</c:v>
                </c:pt>
                <c:pt idx="3">
                  <c:v>0.76556784</c:v>
                </c:pt>
                <c:pt idx="4">
                  <c:v>0.76190480000000005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35-417D-A411-5793902EE628}"/>
            </c:ext>
          </c:extLst>
        </c:ser>
        <c:ser>
          <c:idx val="3"/>
          <c:order val="3"/>
          <c:tx>
            <c:strRef>
              <c:f>'Old Experiments'!$R$59</c:f>
              <c:strCache>
                <c:ptCount val="1"/>
                <c:pt idx="0">
                  <c:v>mcc val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'Old Experiments'!$F$60:$F$64</c:f>
              <c:strCache>
                <c:ptCount val="5"/>
                <c:pt idx="0">
                  <c:v>B1_800_multiclass20_lvl_bs_25_0.0005</c:v>
                </c:pt>
                <c:pt idx="1">
                  <c:v>B2_800_multiclass20_lvl_bs_25_0.0005</c:v>
                </c:pt>
                <c:pt idx="2">
                  <c:v>B2_800_multiclass20_lvl_bs_25_0.00001</c:v>
                </c:pt>
                <c:pt idx="3">
                  <c:v>B2_800_multiclass20_lvl_bs_25_0.001</c:v>
                </c:pt>
                <c:pt idx="4">
                  <c:v>B2_800_multiclass20_lvl_bs_25_0.0001</c:v>
                </c:pt>
              </c:strCache>
            </c:strRef>
          </c:cat>
          <c:val>
            <c:numRef>
              <c:f>'Old Experiments'!$R$60:$R$64</c:f>
              <c:numCache>
                <c:formatCode>0.0000</c:formatCode>
                <c:ptCount val="5"/>
                <c:pt idx="0">
                  <c:v>0.55033690780968003</c:v>
                </c:pt>
                <c:pt idx="1">
                  <c:v>0.49354258062949302</c:v>
                </c:pt>
                <c:pt idx="2">
                  <c:v>0.33863243855440101</c:v>
                </c:pt>
                <c:pt idx="3">
                  <c:v>0.41053999881051501</c:v>
                </c:pt>
                <c:pt idx="4">
                  <c:v>0.426696253672393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535-417D-A411-5793902EE628}"/>
            </c:ext>
          </c:extLst>
        </c:ser>
        <c:ser>
          <c:idx val="4"/>
          <c:order val="4"/>
          <c:tx>
            <c:strRef>
              <c:f>'Old Experiments'!$S$59</c:f>
              <c:strCache>
                <c:ptCount val="1"/>
                <c:pt idx="0">
                  <c:v>Accuracy val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'Old Experiments'!$F$60:$F$64</c:f>
              <c:strCache>
                <c:ptCount val="5"/>
                <c:pt idx="0">
                  <c:v>B1_800_multiclass20_lvl_bs_25_0.0005</c:v>
                </c:pt>
                <c:pt idx="1">
                  <c:v>B2_800_multiclass20_lvl_bs_25_0.0005</c:v>
                </c:pt>
                <c:pt idx="2">
                  <c:v>B2_800_multiclass20_lvl_bs_25_0.00001</c:v>
                </c:pt>
                <c:pt idx="3">
                  <c:v>B2_800_multiclass20_lvl_bs_25_0.001</c:v>
                </c:pt>
                <c:pt idx="4">
                  <c:v>B2_800_multiclass20_lvl_bs_25_0.0001</c:v>
                </c:pt>
              </c:strCache>
            </c:strRef>
          </c:cat>
          <c:val>
            <c:numRef>
              <c:f>'Old Experiments'!$S$60:$S$64</c:f>
              <c:numCache>
                <c:formatCode>0.0000</c:formatCode>
                <c:ptCount val="5"/>
                <c:pt idx="0">
                  <c:v>0.71428571428571397</c:v>
                </c:pt>
                <c:pt idx="1">
                  <c:v>0.68681318681318604</c:v>
                </c:pt>
                <c:pt idx="2">
                  <c:v>0.59890109890109799</c:v>
                </c:pt>
                <c:pt idx="3">
                  <c:v>0.63736263736263699</c:v>
                </c:pt>
                <c:pt idx="4">
                  <c:v>0.64835164835164805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535-417D-A411-5793902EE6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1680959"/>
        <c:axId val="1331681375"/>
      </c:lineChart>
      <c:catAx>
        <c:axId val="1331680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331681375"/>
        <c:crosses val="autoZero"/>
        <c:auto val="1"/>
        <c:lblAlgn val="ctr"/>
        <c:lblOffset val="100"/>
        <c:noMultiLvlLbl val="0"/>
      </c:catAx>
      <c:valAx>
        <c:axId val="133168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331680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Test scores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'Old Experiments'!$T$59</c:f>
              <c:strCache>
                <c:ptCount val="1"/>
                <c:pt idx="0">
                  <c:v>AUC test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'Old Experiments'!$F$60:$F$64</c:f>
              <c:strCache>
                <c:ptCount val="5"/>
                <c:pt idx="0">
                  <c:v>B1_800_multiclass20_lvl_bs_25_0.0005</c:v>
                </c:pt>
                <c:pt idx="1">
                  <c:v>B2_800_multiclass20_lvl_bs_25_0.0005</c:v>
                </c:pt>
                <c:pt idx="2">
                  <c:v>B2_800_multiclass20_lvl_bs_25_0.00001</c:v>
                </c:pt>
                <c:pt idx="3">
                  <c:v>B2_800_multiclass20_lvl_bs_25_0.001</c:v>
                </c:pt>
                <c:pt idx="4">
                  <c:v>B2_800_multiclass20_lvl_bs_25_0.0001</c:v>
                </c:pt>
              </c:strCache>
            </c:strRef>
          </c:cat>
          <c:val>
            <c:numRef>
              <c:f>'Old Experiments'!$T$60:$T$64</c:f>
              <c:numCache>
                <c:formatCode>0.0000</c:formatCode>
                <c:ptCount val="5"/>
                <c:pt idx="0">
                  <c:v>0.77449137000000001</c:v>
                </c:pt>
                <c:pt idx="1">
                  <c:v>0.81774539999999996</c:v>
                </c:pt>
                <c:pt idx="2">
                  <c:v>0.73305600000000004</c:v>
                </c:pt>
                <c:pt idx="3">
                  <c:v>0.77178930000000001</c:v>
                </c:pt>
                <c:pt idx="4">
                  <c:v>0.75120765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4B-4EBF-9183-E2B6A06BEFD3}"/>
            </c:ext>
          </c:extLst>
        </c:ser>
        <c:ser>
          <c:idx val="1"/>
          <c:order val="1"/>
          <c:tx>
            <c:strRef>
              <c:f>'Old Experiments'!$U$59</c:f>
              <c:strCache>
                <c:ptCount val="1"/>
                <c:pt idx="0">
                  <c:v>roc_auc test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'Old Experiments'!$F$60:$F$64</c:f>
              <c:strCache>
                <c:ptCount val="5"/>
                <c:pt idx="0">
                  <c:v>B1_800_multiclass20_lvl_bs_25_0.0005</c:v>
                </c:pt>
                <c:pt idx="1">
                  <c:v>B2_800_multiclass20_lvl_bs_25_0.0005</c:v>
                </c:pt>
                <c:pt idx="2">
                  <c:v>B2_800_multiclass20_lvl_bs_25_0.00001</c:v>
                </c:pt>
                <c:pt idx="3">
                  <c:v>B2_800_multiclass20_lvl_bs_25_0.001</c:v>
                </c:pt>
                <c:pt idx="4">
                  <c:v>B2_800_multiclass20_lvl_bs_25_0.0001</c:v>
                </c:pt>
              </c:strCache>
            </c:strRef>
          </c:cat>
          <c:val>
            <c:numRef>
              <c:f>'Old Experiments'!$U$60:$U$64</c:f>
              <c:numCache>
                <c:formatCode>0.0000</c:formatCode>
                <c:ptCount val="5"/>
                <c:pt idx="0">
                  <c:v>0.74009759114724705</c:v>
                </c:pt>
                <c:pt idx="1">
                  <c:v>0.80535351736036298</c:v>
                </c:pt>
                <c:pt idx="2">
                  <c:v>0.67888009612662203</c:v>
                </c:pt>
                <c:pt idx="3">
                  <c:v>0.76196842037024304</c:v>
                </c:pt>
                <c:pt idx="4">
                  <c:v>0.72947275497430997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4B-4EBF-9183-E2B6A06BEFD3}"/>
            </c:ext>
          </c:extLst>
        </c:ser>
        <c:ser>
          <c:idx val="2"/>
          <c:order val="2"/>
          <c:tx>
            <c:strRef>
              <c:f>'Old Experiments'!$V$59</c:f>
              <c:strCache>
                <c:ptCount val="1"/>
                <c:pt idx="0">
                  <c:v>Binary acc test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'Old Experiments'!$F$60:$F$64</c:f>
              <c:strCache>
                <c:ptCount val="5"/>
                <c:pt idx="0">
                  <c:v>B1_800_multiclass20_lvl_bs_25_0.0005</c:v>
                </c:pt>
                <c:pt idx="1">
                  <c:v>B2_800_multiclass20_lvl_bs_25_0.0005</c:v>
                </c:pt>
                <c:pt idx="2">
                  <c:v>B2_800_multiclass20_lvl_bs_25_0.00001</c:v>
                </c:pt>
                <c:pt idx="3">
                  <c:v>B2_800_multiclass20_lvl_bs_25_0.001</c:v>
                </c:pt>
                <c:pt idx="4">
                  <c:v>B2_800_multiclass20_lvl_bs_25_0.0001</c:v>
                </c:pt>
              </c:strCache>
            </c:strRef>
          </c:cat>
          <c:val>
            <c:numRef>
              <c:f>'Old Experiments'!$V$60:$V$64</c:f>
              <c:numCache>
                <c:formatCode>0.0000</c:formatCode>
                <c:ptCount val="5"/>
                <c:pt idx="0">
                  <c:v>0.74542129999999995</c:v>
                </c:pt>
                <c:pt idx="1">
                  <c:v>0.78205126999999997</c:v>
                </c:pt>
                <c:pt idx="2">
                  <c:v>0.74175820000000003</c:v>
                </c:pt>
                <c:pt idx="3">
                  <c:v>0.75457870000000005</c:v>
                </c:pt>
                <c:pt idx="4">
                  <c:v>0.75457879999999999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4B-4EBF-9183-E2B6A06BEFD3}"/>
            </c:ext>
          </c:extLst>
        </c:ser>
        <c:ser>
          <c:idx val="3"/>
          <c:order val="3"/>
          <c:tx>
            <c:strRef>
              <c:f>'Old Experiments'!$W$59</c:f>
              <c:strCache>
                <c:ptCount val="1"/>
                <c:pt idx="0">
                  <c:v>mcc test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'Old Experiments'!$F$60:$F$64</c:f>
              <c:strCache>
                <c:ptCount val="5"/>
                <c:pt idx="0">
                  <c:v>B1_800_multiclass20_lvl_bs_25_0.0005</c:v>
                </c:pt>
                <c:pt idx="1">
                  <c:v>B2_800_multiclass20_lvl_bs_25_0.0005</c:v>
                </c:pt>
                <c:pt idx="2">
                  <c:v>B2_800_multiclass20_lvl_bs_25_0.00001</c:v>
                </c:pt>
                <c:pt idx="3">
                  <c:v>B2_800_multiclass20_lvl_bs_25_0.001</c:v>
                </c:pt>
                <c:pt idx="4">
                  <c:v>B2_800_multiclass20_lvl_bs_25_0.0001</c:v>
                </c:pt>
              </c:strCache>
            </c:strRef>
          </c:cat>
          <c:val>
            <c:numRef>
              <c:f>'Old Experiments'!$W$60:$W$64</c:f>
              <c:numCache>
                <c:formatCode>0.0000</c:formatCode>
                <c:ptCount val="5"/>
                <c:pt idx="0">
                  <c:v>0.35208864555389402</c:v>
                </c:pt>
                <c:pt idx="1">
                  <c:v>0.46690316279275501</c:v>
                </c:pt>
                <c:pt idx="2">
                  <c:v>0.275677342267097</c:v>
                </c:pt>
                <c:pt idx="3">
                  <c:v>0.40680688193370301</c:v>
                </c:pt>
                <c:pt idx="4">
                  <c:v>0.36772246177555901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B4B-4EBF-9183-E2B6A06BEFD3}"/>
            </c:ext>
          </c:extLst>
        </c:ser>
        <c:ser>
          <c:idx val="4"/>
          <c:order val="4"/>
          <c:tx>
            <c:strRef>
              <c:f>'Old Experiments'!$X$59</c:f>
              <c:strCache>
                <c:ptCount val="1"/>
                <c:pt idx="0">
                  <c:v>Accuracy test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'Old Experiments'!$F$60:$F$64</c:f>
              <c:strCache>
                <c:ptCount val="5"/>
                <c:pt idx="0">
                  <c:v>B1_800_multiclass20_lvl_bs_25_0.0005</c:v>
                </c:pt>
                <c:pt idx="1">
                  <c:v>B2_800_multiclass20_lvl_bs_25_0.0005</c:v>
                </c:pt>
                <c:pt idx="2">
                  <c:v>B2_800_multiclass20_lvl_bs_25_0.00001</c:v>
                </c:pt>
                <c:pt idx="3">
                  <c:v>B2_800_multiclass20_lvl_bs_25_0.001</c:v>
                </c:pt>
                <c:pt idx="4">
                  <c:v>B2_800_multiclass20_lvl_bs_25_0.0001</c:v>
                </c:pt>
              </c:strCache>
            </c:strRef>
          </c:cat>
          <c:val>
            <c:numRef>
              <c:f>'Old Experiments'!$X$60:$X$64</c:f>
              <c:numCache>
                <c:formatCode>0.0000</c:formatCode>
                <c:ptCount val="5"/>
                <c:pt idx="0">
                  <c:v>0.60989010989010894</c:v>
                </c:pt>
                <c:pt idx="1">
                  <c:v>0.67032967032966995</c:v>
                </c:pt>
                <c:pt idx="2">
                  <c:v>0.56593406593406503</c:v>
                </c:pt>
                <c:pt idx="3">
                  <c:v>0.63736263736263699</c:v>
                </c:pt>
                <c:pt idx="4">
                  <c:v>0.61538461538461497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B4B-4EBF-9183-E2B6A06BEF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0340559"/>
        <c:axId val="1360345551"/>
      </c:lineChart>
      <c:catAx>
        <c:axId val="1360340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360345551"/>
        <c:crosses val="autoZero"/>
        <c:auto val="1"/>
        <c:lblAlgn val="ctr"/>
        <c:lblOffset val="100"/>
        <c:noMultiLvlLbl val="0"/>
      </c:catAx>
      <c:valAx>
        <c:axId val="1360345551"/>
        <c:scaling>
          <c:orientation val="minMax"/>
          <c:max val="0.85000000000000009"/>
          <c:min val="0.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360340559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Validation</a:t>
            </a:r>
            <a:r>
              <a:rPr lang="nb-NO" baseline="0"/>
              <a:t> data</a:t>
            </a:r>
            <a:endParaRPr lang="nb-N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'Old Experiments'!$O$59</c:f>
              <c:strCache>
                <c:ptCount val="1"/>
                <c:pt idx="0">
                  <c:v>AUC val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'Old Experiments'!$F$60:$F$64</c:f>
              <c:strCache>
                <c:ptCount val="5"/>
                <c:pt idx="0">
                  <c:v>B1_800_multiclass20_lvl_bs_25_0.0005</c:v>
                </c:pt>
                <c:pt idx="1">
                  <c:v>B2_800_multiclass20_lvl_bs_25_0.0005</c:v>
                </c:pt>
                <c:pt idx="2">
                  <c:v>B2_800_multiclass20_lvl_bs_25_0.00001</c:v>
                </c:pt>
                <c:pt idx="3">
                  <c:v>B2_800_multiclass20_lvl_bs_25_0.001</c:v>
                </c:pt>
                <c:pt idx="4">
                  <c:v>B2_800_multiclass20_lvl_bs_25_0.0001</c:v>
                </c:pt>
              </c:strCache>
            </c:strRef>
          </c:cat>
          <c:val>
            <c:numRef>
              <c:f>'Old Experiments'!$O$60:$O$64</c:f>
              <c:numCache>
                <c:formatCode>0.0000</c:formatCode>
                <c:ptCount val="5"/>
                <c:pt idx="0">
                  <c:v>0.82850796000000004</c:v>
                </c:pt>
                <c:pt idx="1">
                  <c:v>0.81432647000000002</c:v>
                </c:pt>
                <c:pt idx="2">
                  <c:v>0.76612884000000003</c:v>
                </c:pt>
                <c:pt idx="3">
                  <c:v>0.77887636000000005</c:v>
                </c:pt>
                <c:pt idx="4">
                  <c:v>0.77455914000000003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72-4D16-AA9F-3608E3F17E53}"/>
            </c:ext>
          </c:extLst>
        </c:ser>
        <c:ser>
          <c:idx val="1"/>
          <c:order val="1"/>
          <c:tx>
            <c:strRef>
              <c:f>'Old Experiments'!$P$59</c:f>
              <c:strCache>
                <c:ptCount val="1"/>
                <c:pt idx="0">
                  <c:v>roc_auc val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'Old Experiments'!$F$60:$F$64</c:f>
              <c:strCache>
                <c:ptCount val="5"/>
                <c:pt idx="0">
                  <c:v>B1_800_multiclass20_lvl_bs_25_0.0005</c:v>
                </c:pt>
                <c:pt idx="1">
                  <c:v>B2_800_multiclass20_lvl_bs_25_0.0005</c:v>
                </c:pt>
                <c:pt idx="2">
                  <c:v>B2_800_multiclass20_lvl_bs_25_0.00001</c:v>
                </c:pt>
                <c:pt idx="3">
                  <c:v>B2_800_multiclass20_lvl_bs_25_0.001</c:v>
                </c:pt>
                <c:pt idx="4">
                  <c:v>B2_800_multiclass20_lvl_bs_25_0.0001</c:v>
                </c:pt>
              </c:strCache>
            </c:strRef>
          </c:cat>
          <c:val>
            <c:numRef>
              <c:f>'Old Experiments'!$P$60:$P$64</c:f>
              <c:numCache>
                <c:formatCode>0.0000</c:formatCode>
                <c:ptCount val="5"/>
                <c:pt idx="0">
                  <c:v>0.81885341736656603</c:v>
                </c:pt>
                <c:pt idx="1">
                  <c:v>0.80748845197115604</c:v>
                </c:pt>
                <c:pt idx="2">
                  <c:v>0.72383831733760096</c:v>
                </c:pt>
                <c:pt idx="3">
                  <c:v>0.761086209142949</c:v>
                </c:pt>
                <c:pt idx="4">
                  <c:v>0.74536885865592595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72-4D16-AA9F-3608E3F17E53}"/>
            </c:ext>
          </c:extLst>
        </c:ser>
        <c:ser>
          <c:idx val="2"/>
          <c:order val="2"/>
          <c:tx>
            <c:strRef>
              <c:f>'Old Experiments'!$Q$59</c:f>
              <c:strCache>
                <c:ptCount val="1"/>
                <c:pt idx="0">
                  <c:v>Binary acc val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'Old Experiments'!$F$60:$F$64</c:f>
              <c:strCache>
                <c:ptCount val="5"/>
                <c:pt idx="0">
                  <c:v>B1_800_multiclass20_lvl_bs_25_0.0005</c:v>
                </c:pt>
                <c:pt idx="1">
                  <c:v>B2_800_multiclass20_lvl_bs_25_0.0005</c:v>
                </c:pt>
                <c:pt idx="2">
                  <c:v>B2_800_multiclass20_lvl_bs_25_0.00001</c:v>
                </c:pt>
                <c:pt idx="3">
                  <c:v>B2_800_multiclass20_lvl_bs_25_0.001</c:v>
                </c:pt>
                <c:pt idx="4">
                  <c:v>B2_800_multiclass20_lvl_bs_25_0.0001</c:v>
                </c:pt>
              </c:strCache>
            </c:strRef>
          </c:cat>
          <c:val>
            <c:numRef>
              <c:f>'Old Experiments'!$Q$60:$Q$64</c:f>
              <c:numCache>
                <c:formatCode>0.0000</c:formatCode>
                <c:ptCount val="5"/>
                <c:pt idx="0">
                  <c:v>0.80586080000000004</c:v>
                </c:pt>
                <c:pt idx="1">
                  <c:v>0.79304034000000001</c:v>
                </c:pt>
                <c:pt idx="2">
                  <c:v>0.73443230000000004</c:v>
                </c:pt>
                <c:pt idx="3">
                  <c:v>0.76556784</c:v>
                </c:pt>
                <c:pt idx="4">
                  <c:v>0.76190480000000005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72-4D16-AA9F-3608E3F17E53}"/>
            </c:ext>
          </c:extLst>
        </c:ser>
        <c:ser>
          <c:idx val="3"/>
          <c:order val="3"/>
          <c:tx>
            <c:strRef>
              <c:f>'Old Experiments'!$R$59</c:f>
              <c:strCache>
                <c:ptCount val="1"/>
                <c:pt idx="0">
                  <c:v>mcc val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'Old Experiments'!$F$60:$F$64</c:f>
              <c:strCache>
                <c:ptCount val="5"/>
                <c:pt idx="0">
                  <c:v>B1_800_multiclass20_lvl_bs_25_0.0005</c:v>
                </c:pt>
                <c:pt idx="1">
                  <c:v>B2_800_multiclass20_lvl_bs_25_0.0005</c:v>
                </c:pt>
                <c:pt idx="2">
                  <c:v>B2_800_multiclass20_lvl_bs_25_0.00001</c:v>
                </c:pt>
                <c:pt idx="3">
                  <c:v>B2_800_multiclass20_lvl_bs_25_0.001</c:v>
                </c:pt>
                <c:pt idx="4">
                  <c:v>B2_800_multiclass20_lvl_bs_25_0.0001</c:v>
                </c:pt>
              </c:strCache>
            </c:strRef>
          </c:cat>
          <c:val>
            <c:numRef>
              <c:f>'Old Experiments'!$R$60:$R$64</c:f>
              <c:numCache>
                <c:formatCode>0.0000</c:formatCode>
                <c:ptCount val="5"/>
                <c:pt idx="0">
                  <c:v>0.55033690780968003</c:v>
                </c:pt>
                <c:pt idx="1">
                  <c:v>0.49354258062949302</c:v>
                </c:pt>
                <c:pt idx="2">
                  <c:v>0.33863243855440101</c:v>
                </c:pt>
                <c:pt idx="3">
                  <c:v>0.41053999881051501</c:v>
                </c:pt>
                <c:pt idx="4">
                  <c:v>0.426696253672393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72-4D16-AA9F-3608E3F17E53}"/>
            </c:ext>
          </c:extLst>
        </c:ser>
        <c:ser>
          <c:idx val="4"/>
          <c:order val="4"/>
          <c:tx>
            <c:strRef>
              <c:f>'Old Experiments'!$S$59</c:f>
              <c:strCache>
                <c:ptCount val="1"/>
                <c:pt idx="0">
                  <c:v>Accuracy val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'Old Experiments'!$F$60:$F$64</c:f>
              <c:strCache>
                <c:ptCount val="5"/>
                <c:pt idx="0">
                  <c:v>B1_800_multiclass20_lvl_bs_25_0.0005</c:v>
                </c:pt>
                <c:pt idx="1">
                  <c:v>B2_800_multiclass20_lvl_bs_25_0.0005</c:v>
                </c:pt>
                <c:pt idx="2">
                  <c:v>B2_800_multiclass20_lvl_bs_25_0.00001</c:v>
                </c:pt>
                <c:pt idx="3">
                  <c:v>B2_800_multiclass20_lvl_bs_25_0.001</c:v>
                </c:pt>
                <c:pt idx="4">
                  <c:v>B2_800_multiclass20_lvl_bs_25_0.0001</c:v>
                </c:pt>
              </c:strCache>
            </c:strRef>
          </c:cat>
          <c:val>
            <c:numRef>
              <c:f>'Old Experiments'!$S$60:$S$64</c:f>
              <c:numCache>
                <c:formatCode>0.0000</c:formatCode>
                <c:ptCount val="5"/>
                <c:pt idx="0">
                  <c:v>0.71428571428571397</c:v>
                </c:pt>
                <c:pt idx="1">
                  <c:v>0.68681318681318604</c:v>
                </c:pt>
                <c:pt idx="2">
                  <c:v>0.59890109890109799</c:v>
                </c:pt>
                <c:pt idx="3">
                  <c:v>0.63736263736263699</c:v>
                </c:pt>
                <c:pt idx="4">
                  <c:v>0.64835164835164805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572-4D16-AA9F-3608E3F17E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167088"/>
        <c:axId val="109174576"/>
      </c:lineChart>
      <c:catAx>
        <c:axId val="109167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09174576"/>
        <c:crosses val="autoZero"/>
        <c:auto val="1"/>
        <c:lblAlgn val="ctr"/>
        <c:lblOffset val="100"/>
        <c:noMultiLvlLbl val="0"/>
      </c:catAx>
      <c:valAx>
        <c:axId val="10917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09167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Test</a:t>
            </a:r>
            <a:r>
              <a:rPr lang="nb-NO" baseline="0"/>
              <a:t> data</a:t>
            </a:r>
            <a:endParaRPr lang="nb-N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'Old Experiments'!$T$59</c:f>
              <c:strCache>
                <c:ptCount val="1"/>
                <c:pt idx="0">
                  <c:v>AUC test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'Old Experiments'!$F$60:$F$64</c:f>
              <c:strCache>
                <c:ptCount val="5"/>
                <c:pt idx="0">
                  <c:v>B1_800_multiclass20_lvl_bs_25_0.0005</c:v>
                </c:pt>
                <c:pt idx="1">
                  <c:v>B2_800_multiclass20_lvl_bs_25_0.0005</c:v>
                </c:pt>
                <c:pt idx="2">
                  <c:v>B2_800_multiclass20_lvl_bs_25_0.00001</c:v>
                </c:pt>
                <c:pt idx="3">
                  <c:v>B2_800_multiclass20_lvl_bs_25_0.001</c:v>
                </c:pt>
                <c:pt idx="4">
                  <c:v>B2_800_multiclass20_lvl_bs_25_0.0001</c:v>
                </c:pt>
              </c:strCache>
            </c:strRef>
          </c:cat>
          <c:val>
            <c:numRef>
              <c:f>'Old Experiments'!$T$60:$T$64</c:f>
              <c:numCache>
                <c:formatCode>0.0000</c:formatCode>
                <c:ptCount val="5"/>
                <c:pt idx="0">
                  <c:v>0.77449137000000001</c:v>
                </c:pt>
                <c:pt idx="1">
                  <c:v>0.81774539999999996</c:v>
                </c:pt>
                <c:pt idx="2">
                  <c:v>0.73305600000000004</c:v>
                </c:pt>
                <c:pt idx="3">
                  <c:v>0.77178930000000001</c:v>
                </c:pt>
                <c:pt idx="4">
                  <c:v>0.75120765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0C-4610-B01F-B810C8D13D71}"/>
            </c:ext>
          </c:extLst>
        </c:ser>
        <c:ser>
          <c:idx val="1"/>
          <c:order val="1"/>
          <c:tx>
            <c:strRef>
              <c:f>'Old Experiments'!$U$59</c:f>
              <c:strCache>
                <c:ptCount val="1"/>
                <c:pt idx="0">
                  <c:v>roc_auc test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'Old Experiments'!$F$60:$F$64</c:f>
              <c:strCache>
                <c:ptCount val="5"/>
                <c:pt idx="0">
                  <c:v>B1_800_multiclass20_lvl_bs_25_0.0005</c:v>
                </c:pt>
                <c:pt idx="1">
                  <c:v>B2_800_multiclass20_lvl_bs_25_0.0005</c:v>
                </c:pt>
                <c:pt idx="2">
                  <c:v>B2_800_multiclass20_lvl_bs_25_0.00001</c:v>
                </c:pt>
                <c:pt idx="3">
                  <c:v>B2_800_multiclass20_lvl_bs_25_0.001</c:v>
                </c:pt>
                <c:pt idx="4">
                  <c:v>B2_800_multiclass20_lvl_bs_25_0.0001</c:v>
                </c:pt>
              </c:strCache>
            </c:strRef>
          </c:cat>
          <c:val>
            <c:numRef>
              <c:f>'Old Experiments'!$U$60:$U$64</c:f>
              <c:numCache>
                <c:formatCode>0.0000</c:formatCode>
                <c:ptCount val="5"/>
                <c:pt idx="0">
                  <c:v>0.74009759114724705</c:v>
                </c:pt>
                <c:pt idx="1">
                  <c:v>0.80535351736036298</c:v>
                </c:pt>
                <c:pt idx="2">
                  <c:v>0.67888009612662203</c:v>
                </c:pt>
                <c:pt idx="3">
                  <c:v>0.76196842037024304</c:v>
                </c:pt>
                <c:pt idx="4">
                  <c:v>0.72947275497430997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0C-4610-B01F-B810C8D13D71}"/>
            </c:ext>
          </c:extLst>
        </c:ser>
        <c:ser>
          <c:idx val="2"/>
          <c:order val="2"/>
          <c:tx>
            <c:strRef>
              <c:f>'Old Experiments'!$V$59</c:f>
              <c:strCache>
                <c:ptCount val="1"/>
                <c:pt idx="0">
                  <c:v>Binary acc test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'Old Experiments'!$F$60:$F$64</c:f>
              <c:strCache>
                <c:ptCount val="5"/>
                <c:pt idx="0">
                  <c:v>B1_800_multiclass20_lvl_bs_25_0.0005</c:v>
                </c:pt>
                <c:pt idx="1">
                  <c:v>B2_800_multiclass20_lvl_bs_25_0.0005</c:v>
                </c:pt>
                <c:pt idx="2">
                  <c:v>B2_800_multiclass20_lvl_bs_25_0.00001</c:v>
                </c:pt>
                <c:pt idx="3">
                  <c:v>B2_800_multiclass20_lvl_bs_25_0.001</c:v>
                </c:pt>
                <c:pt idx="4">
                  <c:v>B2_800_multiclass20_lvl_bs_25_0.0001</c:v>
                </c:pt>
              </c:strCache>
            </c:strRef>
          </c:cat>
          <c:val>
            <c:numRef>
              <c:f>'Old Experiments'!$V$60:$V$64</c:f>
              <c:numCache>
                <c:formatCode>0.0000</c:formatCode>
                <c:ptCount val="5"/>
                <c:pt idx="0">
                  <c:v>0.74542129999999995</c:v>
                </c:pt>
                <c:pt idx="1">
                  <c:v>0.78205126999999997</c:v>
                </c:pt>
                <c:pt idx="2">
                  <c:v>0.74175820000000003</c:v>
                </c:pt>
                <c:pt idx="3">
                  <c:v>0.75457870000000005</c:v>
                </c:pt>
                <c:pt idx="4">
                  <c:v>0.75457879999999999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0C-4610-B01F-B810C8D13D71}"/>
            </c:ext>
          </c:extLst>
        </c:ser>
        <c:ser>
          <c:idx val="3"/>
          <c:order val="3"/>
          <c:tx>
            <c:strRef>
              <c:f>'Old Experiments'!$W$59</c:f>
              <c:strCache>
                <c:ptCount val="1"/>
                <c:pt idx="0">
                  <c:v>mcc test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'Old Experiments'!$F$60:$F$64</c:f>
              <c:strCache>
                <c:ptCount val="5"/>
                <c:pt idx="0">
                  <c:v>B1_800_multiclass20_lvl_bs_25_0.0005</c:v>
                </c:pt>
                <c:pt idx="1">
                  <c:v>B2_800_multiclass20_lvl_bs_25_0.0005</c:v>
                </c:pt>
                <c:pt idx="2">
                  <c:v>B2_800_multiclass20_lvl_bs_25_0.00001</c:v>
                </c:pt>
                <c:pt idx="3">
                  <c:v>B2_800_multiclass20_lvl_bs_25_0.001</c:v>
                </c:pt>
                <c:pt idx="4">
                  <c:v>B2_800_multiclass20_lvl_bs_25_0.0001</c:v>
                </c:pt>
              </c:strCache>
            </c:strRef>
          </c:cat>
          <c:val>
            <c:numRef>
              <c:f>'Old Experiments'!$W$60:$W$64</c:f>
              <c:numCache>
                <c:formatCode>0.0000</c:formatCode>
                <c:ptCount val="5"/>
                <c:pt idx="0">
                  <c:v>0.35208864555389402</c:v>
                </c:pt>
                <c:pt idx="1">
                  <c:v>0.46690316279275501</c:v>
                </c:pt>
                <c:pt idx="2">
                  <c:v>0.275677342267097</c:v>
                </c:pt>
                <c:pt idx="3">
                  <c:v>0.40680688193370301</c:v>
                </c:pt>
                <c:pt idx="4">
                  <c:v>0.36772246177555901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70C-4610-B01F-B810C8D13D71}"/>
            </c:ext>
          </c:extLst>
        </c:ser>
        <c:ser>
          <c:idx val="4"/>
          <c:order val="4"/>
          <c:tx>
            <c:strRef>
              <c:f>'Old Experiments'!$X$59</c:f>
              <c:strCache>
                <c:ptCount val="1"/>
                <c:pt idx="0">
                  <c:v>Accuracy test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'Old Experiments'!$F$60:$F$64</c:f>
              <c:strCache>
                <c:ptCount val="5"/>
                <c:pt idx="0">
                  <c:v>B1_800_multiclass20_lvl_bs_25_0.0005</c:v>
                </c:pt>
                <c:pt idx="1">
                  <c:v>B2_800_multiclass20_lvl_bs_25_0.0005</c:v>
                </c:pt>
                <c:pt idx="2">
                  <c:v>B2_800_multiclass20_lvl_bs_25_0.00001</c:v>
                </c:pt>
                <c:pt idx="3">
                  <c:v>B2_800_multiclass20_lvl_bs_25_0.001</c:v>
                </c:pt>
                <c:pt idx="4">
                  <c:v>B2_800_multiclass20_lvl_bs_25_0.0001</c:v>
                </c:pt>
              </c:strCache>
            </c:strRef>
          </c:cat>
          <c:val>
            <c:numRef>
              <c:f>'Old Experiments'!$X$60:$X$64</c:f>
              <c:numCache>
                <c:formatCode>0.0000</c:formatCode>
                <c:ptCount val="5"/>
                <c:pt idx="0">
                  <c:v>0.60989010989010894</c:v>
                </c:pt>
                <c:pt idx="1">
                  <c:v>0.67032967032966995</c:v>
                </c:pt>
                <c:pt idx="2">
                  <c:v>0.56593406593406503</c:v>
                </c:pt>
                <c:pt idx="3">
                  <c:v>0.63736263736263699</c:v>
                </c:pt>
                <c:pt idx="4">
                  <c:v>0.61538461538461497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70C-4610-B01F-B810C8D13D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131312"/>
        <c:axId val="109137136"/>
      </c:lineChart>
      <c:catAx>
        <c:axId val="109131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09137136"/>
        <c:crosses val="autoZero"/>
        <c:auto val="1"/>
        <c:lblAlgn val="ctr"/>
        <c:lblOffset val="100"/>
        <c:noMultiLvlLbl val="0"/>
      </c:catAx>
      <c:valAx>
        <c:axId val="10913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09131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2142275</xdr:colOff>
      <xdr:row>6</xdr:row>
      <xdr:rowOff>108357</xdr:rowOff>
    </xdr:from>
    <xdr:to>
      <xdr:col>1</xdr:col>
      <xdr:colOff>4166493</xdr:colOff>
      <xdr:row>11</xdr:row>
      <xdr:rowOff>319268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Problem type 1">
              <a:extLst>
                <a:ext uri="{FF2B5EF4-FFF2-40B4-BE49-F238E27FC236}">
                  <a16:creationId xmlns:a16="http://schemas.microsoft.com/office/drawing/2014/main" id="{09FC3630-4929-E037-79B7-0FA93221D91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blem typ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85154" y="3956842"/>
              <a:ext cx="2024218" cy="343401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nb-NO" sz="1100"/>
                <a:t>Denne figuren representerer en tabellslicer. Tabellslicere støttes ikke i denne versjonen av Excel.
Sliceren kan ikke brukes hvis figuren ble endret i en tidligere versjon av Excel, eller hvis arbeidsboken ble lagret i Excel 2007 eller tidligere.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237066</xdr:colOff>
      <xdr:row>4</xdr:row>
      <xdr:rowOff>482600</xdr:rowOff>
    </xdr:from>
    <xdr:to>
      <xdr:col>1</xdr:col>
      <xdr:colOff>2065866</xdr:colOff>
      <xdr:row>6</xdr:row>
      <xdr:rowOff>451527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Problem type">
              <a:extLst>
                <a:ext uri="{FF2B5EF4-FFF2-40B4-BE49-F238E27FC236}">
                  <a16:creationId xmlns:a16="http://schemas.microsoft.com/office/drawing/2014/main" id="{73894231-FA59-18BB-5589-FDB1FB5883D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blem 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7166" y="2400300"/>
              <a:ext cx="1828800" cy="111192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nb-NO" sz="1100"/>
                <a:t>Denne figuren representerer en tabellslicer. Tabellslicere støttes ikke i denne versjonen av Excel.
Sliceren kan ikke brukes hvis figuren ble endret i en tidligere versjon av Excel, eller hvis arbeidsboken ble lagret i Excel 2007 eller tidligere.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3303492</xdr:colOff>
      <xdr:row>111</xdr:row>
      <xdr:rowOff>87124</xdr:rowOff>
    </xdr:from>
    <xdr:to>
      <xdr:col>6</xdr:col>
      <xdr:colOff>554130</xdr:colOff>
      <xdr:row>128</xdr:row>
      <xdr:rowOff>163044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8483796-E36F-59A0-4BB2-9CD05B17BF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222997</xdr:colOff>
      <xdr:row>105</xdr:row>
      <xdr:rowOff>87966</xdr:rowOff>
    </xdr:from>
    <xdr:to>
      <xdr:col>15</xdr:col>
      <xdr:colOff>476250</xdr:colOff>
      <xdr:row>124</xdr:row>
      <xdr:rowOff>147919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8087411-974A-8BE8-858D-4FED3A1301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329045</xdr:colOff>
      <xdr:row>78</xdr:row>
      <xdr:rowOff>65809</xdr:rowOff>
    </xdr:from>
    <xdr:to>
      <xdr:col>16</xdr:col>
      <xdr:colOff>675409</xdr:colOff>
      <xdr:row>90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4B96EBA-F4B7-0BA8-3565-9A334E386F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848591</xdr:colOff>
      <xdr:row>78</xdr:row>
      <xdr:rowOff>48490</xdr:rowOff>
    </xdr:from>
    <xdr:to>
      <xdr:col>23</xdr:col>
      <xdr:colOff>242454</xdr:colOff>
      <xdr:row>90</xdr:row>
      <xdr:rowOff>20781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526ADB3-2EC9-FF9F-D569-C5F578A566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Problem_type" xr10:uid="{A12A6401-53E1-B14E-927C-53013769C7DD}" sourceName="Problem type">
  <extLst>
    <x:ext xmlns:x15="http://schemas.microsoft.com/office/spreadsheetml/2010/11/main" uri="{2F2917AC-EB37-4324-AD4E-5DD8C200BD13}">
      <x15:tableSlicerCache tableId="7" column="5"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Problem_type1" xr10:uid="{678A5CB9-0B64-2F40-9F53-129A96E938AA}" sourceName="Problem type">
  <extLst>
    <x:ext xmlns:x15="http://schemas.microsoft.com/office/spreadsheetml/2010/11/main" uri="{2F2917AC-EB37-4324-AD4E-5DD8C200BD13}">
      <x15:tableSlicerCache tableId="8" column="14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Problem type 1" xr10:uid="{8D00B9AA-7A04-2348-A2AB-BA58A127F0C6}" cache="Slicer_Problem_type1" caption="Problem type" rowHeight="230716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Problem type" xr10:uid="{8D2F0C60-F1AB-2E4F-979C-370985ACF5B9}" cache="Slicer_Problem_type" caption="Problem type" rowHeight="230716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123D30A-3DDA-1B4D-A1D3-F6D13905E248}" name="BinEksp" displayName="BinEksp" ref="A1:AL53" totalsRowShown="0" headerRowDxfId="206" dataDxfId="205" tableBorderDxfId="204" dataCellStyle="Normal">
  <autoFilter ref="A1:AL53" xr:uid="{F123D30A-3DDA-1B4D-A1D3-F6D13905E248}">
    <filterColumn colId="6">
      <filters>
        <filter val="0.00005"/>
        <filter val="0.0001"/>
        <filter val="0.0005"/>
        <filter val="0.001"/>
        <filter val="0.005"/>
      </filters>
    </filterColumn>
  </autoFilter>
  <sortState xmlns:xlrd2="http://schemas.microsoft.com/office/spreadsheetml/2017/richdata2" ref="A2:AL53">
    <sortCondition ref="A1:A53"/>
  </sortState>
  <tableColumns count="38">
    <tableColumn id="1" xr3:uid="{8284FD0A-E8FB-BE44-8767-3C862CE8F232}" name="slurm job-ID" dataDxfId="203" dataCellStyle="Normal"/>
    <tableColumn id="2" xr3:uid="{FA11164F-C0EF-604E-BF8F-35F3FD855D66}" name="command in orion" dataDxfId="202" dataCellStyle="Normal"/>
    <tableColumn id="11" xr3:uid="{66F87A0B-4A85-BA44-8B20-8EACD5FBB558}" name="Notat" dataDxfId="201"/>
    <tableColumn id="3" xr3:uid="{EE4CF775-FD47-E247-A147-084346E9D44B}" name="Dataset (.h5)" dataDxfId="200" dataCellStyle="Normal"/>
    <tableColumn id="4" xr3:uid="{946CC228-DEEC-EF41-A596-6F9195285F70}" name="Configuration" dataDxfId="199" dataCellStyle="Normal">
      <calculatedColumnFormula>_xlfn.TEXTJOIN("_",TRUE,BinEksp[[#This Row],[Kompleksitet]],BinEksp[[#This Row],[Dataset (.h5)]],_xlfn.TEXTJOIN("",TRUE,"bs",BinEksp[[#This Row],[Partistørrelse]]),BinEksp[[#This Row],[Læringsrate]],IF(BinEksp[[#This Row],[Augmentering]]="ja","aug",""),IF(BinEksp[[#This Row],[Validering]]="ja","flip",""))</calculatedColumnFormula>
    </tableColumn>
    <tableColumn id="5" xr3:uid="{540611C2-D791-044F-900D-A14335264A35}" name="Kompleksitet" dataDxfId="198" dataCellStyle="Normal"/>
    <tableColumn id="6" xr3:uid="{D90C6939-A328-5F4B-9B42-E35497AA3121}" name="Læringsrate" dataDxfId="197" dataCellStyle="Normal"/>
    <tableColumn id="7" xr3:uid="{9BA44F97-E8B1-6944-9533-60638909C933}" name="Augmentering" dataDxfId="196" dataCellStyle="Normal"/>
    <tableColumn id="8" xr3:uid="{0149A34F-5087-5642-A473-46AB1B81E843}" name="Partistørrelse" dataDxfId="195" dataCellStyle="Normal"/>
    <tableColumn id="9" xr3:uid="{F20B0945-8426-E941-B6BD-F5DBAD0589B7}" name="Validering" dataDxfId="194" dataCellStyle="Normal"/>
    <tableColumn id="10" xr3:uid="{57A77778-F5ED-8745-B0BB-355F377F3C86}" name="Forhåndstrent" dataDxfId="193" dataCellStyle="Normal"/>
    <tableColumn id="13" xr3:uid="{3F425D6C-8A3F-48FD-B0F3-46C35305161F}" name="Runtime" dataDxfId="192"/>
    <tableColumn id="12" xr3:uid="{A5F1F738-FF34-C549-88EA-0488A0DA0FFF}" name="Epoker" dataDxfId="191" dataCellStyle="Normal"/>
    <tableColumn id="40" xr3:uid="{096B0F62-100C-C441-82EC-1EA3DF092201}" name="beste epoke" dataDxfId="190"/>
    <tableColumn id="15" xr3:uid="{906E9E02-9683-394D-AD21-2F3B353A4F8D}" name="AUC val" dataDxfId="189" dataCellStyle="Normal"/>
    <tableColumn id="18" xr3:uid="{4DB1EF1E-512C-C84B-A5DB-469B26E610D5}" name="BinaryAccuracy val" dataDxfId="188" dataCellStyle="Normal"/>
    <tableColumn id="19" xr3:uid="{AA119BB1-18A5-004A-AC16-821821C66928}" name="mcc val" dataDxfId="187" dataCellStyle="Normal"/>
    <tableColumn id="20" xr3:uid="{FD99A589-CFD1-5D4E-B295-6DD71718522B}" name="f1 val" dataDxfId="186" dataCellStyle="Normal"/>
    <tableColumn id="21" xr3:uid="{443B26EC-0A7B-4447-9B13-AAAD0D61B8A6}" name="f1_0 val" dataDxfId="185" dataCellStyle="Normal"/>
    <tableColumn id="22" xr3:uid="{96F48A98-18AA-3549-ACB1-F7F08432264D}" name="AUC test" dataDxfId="184" dataCellStyle="Normal"/>
    <tableColumn id="25" xr3:uid="{1450DE7B-A56D-9A46-9B4F-B77E7DDE514B}" name="BinaryAccuracy test" dataDxfId="183" dataCellStyle="Normal"/>
    <tableColumn id="26" xr3:uid="{6F506935-4FC8-CE4D-BABD-D249B67B55CA}" name="mcc test" dataDxfId="182" dataCellStyle="Normal"/>
    <tableColumn id="27" xr3:uid="{FCF33EC4-ADC1-8D47-89E3-0E45C325407F}" name="f1 test" dataDxfId="181" dataCellStyle="Normal"/>
    <tableColumn id="28" xr3:uid="{092D369D-39E1-B343-9377-B1DD2DBACED5}" name="f1_0 test" dataDxfId="180" dataCellStyle="Normal"/>
    <tableColumn id="29" xr3:uid="{CE55CF44-7263-9840-A3D5-D27A9CB20D07}" name="Number of samples" dataDxfId="179" dataCellStyle="Normal">
      <calculatedColumnFormula>_xlfn.XLOOKUP(BinEksp[[#This Row],[Dataset (.h5)]],Datasett[Datasett (.h5)],Datasett[total]," ")</calculatedColumnFormula>
    </tableColumn>
    <tableColumn id="30" xr3:uid="{6C33FD55-3EE7-C14C-BF2D-C87A4DA428A8}" name="andel normale" dataDxfId="178" dataCellStyle="Normal">
      <calculatedColumnFormula>IFERROR(_xlfn.XLOOKUP(BinEksp[[#This Row],[Dataset (.h5)]],Datasett[Datasett (.h5)],Datasett[Normale]," ")/BinEksp[[#This Row],[Number of samples]]," ")</calculatedColumnFormula>
    </tableColumn>
    <tableColumn id="31" xr3:uid="{95D1EC24-D99A-1447-B6CE-409F816BAF64}" name="1 artrose/ sklerose" dataDxfId="177" dataCellStyle="Normal">
      <calculatedColumnFormula>IFERROR(_xlfn.XLOOKUP(BinEksp[[#This Row],[Dataset (.h5)]],Datasett[Datasett (.h5)],Datasett[1 artrose/sklerose]," ")/BinEksp[[#This Row],[Number of samples]]," ")</calculatedColumnFormula>
    </tableColumn>
    <tableColumn id="33" xr3:uid="{64FD00EC-98ED-BD4F-822B-6361716235B6}" name="2 artrose" dataDxfId="176" dataCellStyle="Normal">
      <calculatedColumnFormula>IFERROR(_xlfn.XLOOKUP(BinEksp[[#This Row],[Dataset (.h5)]],Datasett[Datasett (.h5)],Datasett[2 artrose]," ")/BinEksp[[#This Row],[Number of samples]]," ")</calculatedColumnFormula>
    </tableColumn>
    <tableColumn id="34" xr3:uid="{80A88279-3B69-2C49-B0DC-F7B8A04AB9E7}" name="2 MCD" dataDxfId="175" dataCellStyle="Normal">
      <calculatedColumnFormula>IFERROR(_xlfn.XLOOKUP(BinEksp[[#This Row],[Dataset (.h5)]],Datasett[Datasett (.h5)],Datasett[2 MCD]," ")/BinEksp[[#This Row],[Number of samples]]," ")</calculatedColumnFormula>
    </tableColumn>
    <tableColumn id="35" xr3:uid="{5275D623-1B36-5347-9A1B-D9A34DA366C7}" name="3 artrose" dataDxfId="174" dataCellStyle="Normal">
      <calculatedColumnFormula>IFERROR(_xlfn.XLOOKUP(BinEksp[[#This Row],[Dataset (.h5)]],Datasett[Datasett (.h5)],Datasett[3 artrose]," ")/BinEksp[[#This Row],[Number of samples]]," ")</calculatedColumnFormula>
    </tableColumn>
    <tableColumn id="36" xr3:uid="{A05009F7-8B89-1B48-B006-4B7DECB922B2}" name="3 MCD" dataDxfId="173" dataCellStyle="Normal">
      <calculatedColumnFormula>IFERROR(_xlfn.XLOOKUP(BinEksp[[#This Row],[Dataset (.h5)]],Datasett[Datasett (.h5)],Datasett[3 MCD]," ")/BinEksp[[#This Row],[Number of samples]]," ")</calculatedColumnFormula>
    </tableColumn>
    <tableColumn id="37" xr3:uid="{108360E2-E50C-7D49-B1D3-32035618392B}" name="3 OCD" dataDxfId="172" dataCellStyle="Normal">
      <calculatedColumnFormula>IFERROR(_xlfn.XLOOKUP(BinEksp[[#This Row],[Dataset (.h5)]],Datasett[Datasett (.h5)],Datasett[3 OCD]," ")/BinEksp[[#This Row],[Number of samples]]," ")</calculatedColumnFormula>
    </tableColumn>
    <tableColumn id="38" xr3:uid="{47B63256-163A-FA41-A6E6-DAE0DE3258FE}" name="3 UAP" dataDxfId="171" dataCellStyle="Normal">
      <calculatedColumnFormula>IFERROR(_xlfn.XLOOKUP(BinEksp[[#This Row],[Dataset (.h5)]],Datasett[Datasett (.h5)],Datasett[3 UAP]," ")/BinEksp[[#This Row],[Number of samples]]," ")</calculatedColumnFormula>
    </tableColumn>
    <tableColumn id="39" xr3:uid="{D76C3ABE-756C-8E47-ACBB-3F8EBC1E07BD}" name="andel abnormal" dataDxfId="170" dataCellStyle="Normal">
      <calculatedColumnFormula>SUM(BinEksp[[#This Row],[1 artrose/ sklerose]:[3 UAP]])</calculatedColumnFormula>
    </tableColumn>
    <tableColumn id="32" xr3:uid="{D0BC41E4-E10B-B14B-BC2F-502787B39583}" name="model" dataDxfId="169" dataCellStyle="Normal">
      <calculatedColumnFormula>_xlfn.TEXTJOIN("_",TRUE,BinEksp[[#This Row],[Kompleksitet]],BinEksp[[#This Row],[Læringsrate]],IF(BinEksp[[#This Row],[Augmentering]]="ja","aug",""),IF(BinEksp[[#This Row],[Validering]]="ja","flip",""))</calculatedColumnFormula>
    </tableColumn>
    <tableColumn id="14" xr3:uid="{3F00C6A1-41A0-C64A-9A8C-78F8806329A0}" name="Problem type" dataDxfId="168" dataCellStyle="Normal"/>
    <tableColumn id="41" xr3:uid="{88B9AE22-EB6F-7546-9C04-AEBDD621A023}" name="model_clean" dataDxfId="167" dataCellStyle="Normal">
      <calculatedColumnFormula>_xlfn.TEXTJOIN("_",TRUE,BinEksp[[#This Row],[Kompleksitet]],BinEksp[[#This Row],[Læringsrate]],IF(BinEksp[[#This Row],[Augmentering]]="ja","aug",""))</calculatedColumnFormula>
    </tableColumn>
    <tableColumn id="42" xr3:uid="{EDAE31F1-9D29-5040-8905-C35FEAC3617C}" name="complexity" dataDxfId="166" dataCellStyle="Normal">
      <calculatedColumnFormula>_xlfn.TEXTJOIN("",TRUE,BinEksp[[#This Row],[Kompleksitet]],IF(BinEksp[[#This Row],[Augmentering]]="Ja","B","A"))</calculatedColumnFormula>
    </tableColumn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EB01818-577F-AA48-956E-A314AA8466E2}" name="Tabell7" displayName="Tabell7" ref="A1:AE20" dataDxfId="165">
  <autoFilter ref="A1:AE20" xr:uid="{4EB01818-577F-AA48-956E-A314AA8466E2}"/>
  <sortState xmlns:xlrd2="http://schemas.microsoft.com/office/spreadsheetml/2017/richdata2" ref="A2:AE20">
    <sortCondition descending="1" ref="U1:U20"/>
  </sortState>
  <tableColumns count="31">
    <tableColumn id="1" xr3:uid="{2EAB4B96-2D47-354A-9389-44EC8F4676BD}" name="ID" totalsRowLabel="Totalt" dataDxfId="164" totalsRowDxfId="163"/>
    <tableColumn id="2" xr3:uid="{E76F2D80-F80E-3848-B423-2D9129B31F5B}" name="command in orion" dataDxfId="162" totalsRowDxfId="161"/>
    <tableColumn id="3" xr3:uid="{B666E6E3-6B15-7C4B-BC72-02FF1AAC489A}" name="Note" dataDxfId="160" totalsRowDxfId="159"/>
    <tableColumn id="4" xr3:uid="{69C4E0AB-BC75-AD49-91F1-B4F3CD5D9896}" name="Dataset (.h5)" dataDxfId="158" totalsRowDxfId="157"/>
    <tableColumn id="5" xr3:uid="{EC683E4A-3DC9-9E4F-91B2-27212CECA555}" name="Problem type" dataDxfId="156" totalsRowDxfId="155"/>
    <tableColumn id="6" xr3:uid="{4E403B50-F005-9F43-AECB-FE920C84DC38}" name="Configuration" dataDxfId="154" totalsRowDxfId="153">
      <calculatedColumnFormula>_xlfn.TEXTJOIN("_",TRUE,Tabell7[[#This Row],[Kompleksitet]],Tabell7[[#This Row],[Dataset (.h5)]],_xlfn.TEXTJOIN("",TRUE,"bs",Tabell7[[#This Row],[Partistørrelse]]),Tabell7[[#This Row],[Læringsrate]],IF(Tabell7[[#This Row],[Augmentering]]="ja","aug",""),IF(Tabell7[[#This Row],[Validering]]="ja","flip",""))</calculatedColumnFormula>
    </tableColumn>
    <tableColumn id="7" xr3:uid="{A2ED287F-F93A-3642-81F3-6740B2182C4C}" name="Kompleksitet" dataDxfId="152" totalsRowDxfId="151"/>
    <tableColumn id="8" xr3:uid="{696C0E61-7E58-204C-8327-5EC852139969}" name="Læringsrate" dataDxfId="150" totalsRowDxfId="149"/>
    <tableColumn id="9" xr3:uid="{9FDACDB9-0B31-9845-812D-596AB850BE5E}" name="Augmentering" dataDxfId="148" totalsRowDxfId="147"/>
    <tableColumn id="10" xr3:uid="{C13482F1-A18A-184E-AA7F-25012C13E3CA}" name="Partistørrelse" dataDxfId="146" totalsRowDxfId="145"/>
    <tableColumn id="11" xr3:uid="{4D0B12AF-54D8-CF48-809A-CD4EC4AEFF0D}" name="Validering" dataDxfId="144" totalsRowDxfId="143"/>
    <tableColumn id="12" xr3:uid="{45B5641A-F560-934E-8980-AE76D06ADE88}" name="Forhåndstrent" dataDxfId="142" totalsRowDxfId="141"/>
    <tableColumn id="13" xr3:uid="{B95E0C0D-FE6A-134F-B88B-15701B6C4FBF}" name="Runtime" dataDxfId="140" totalsRowDxfId="139"/>
    <tableColumn id="14" xr3:uid="{B540D3CC-0713-A740-B584-84C84DB5FCA0}" name="Epochs/best epoch" dataDxfId="138" totalsRowDxfId="137"/>
    <tableColumn id="15" xr3:uid="{3B9ACA33-2226-A543-9FDE-1E6D248D3190}" name="AUC val" dataDxfId="136" totalsRowDxfId="135"/>
    <tableColumn id="19" xr3:uid="{F73434DC-2DD2-8B41-8907-104B48221F04}" name="BinaryAccuracy val" dataDxfId="134" totalsRowDxfId="133"/>
    <tableColumn id="20" xr3:uid="{C1417E26-2EB6-4E43-A6FA-C8D52EA70796}" name="mcc val" dataDxfId="132" totalsRowDxfId="131"/>
    <tableColumn id="21" xr3:uid="{F3014C67-85C5-F149-B5CB-7528B7B4E726}" name="accuracy val" dataDxfId="130" totalsRowDxfId="129"/>
    <tableColumn id="22" xr3:uid="{70C25493-F831-DC4F-8694-5482A723D45D}" name="AUC test" dataDxfId="128" totalsRowDxfId="127"/>
    <tableColumn id="26" xr3:uid="{4A6A94BA-E64D-5447-9620-CE8C629E6C04}" name="BinaryAccuracy test" dataDxfId="126" totalsRowDxfId="125"/>
    <tableColumn id="27" xr3:uid="{1A9B5AA1-53BF-D242-8817-024F082B0D47}" name="mcc test" dataDxfId="124" totalsRowDxfId="123"/>
    <tableColumn id="28" xr3:uid="{D0AC4882-90C0-E14A-A09D-AF9B5E3A4CC4}" name="accuracy test" dataDxfId="122" totalsRowDxfId="121"/>
    <tableColumn id="31" xr3:uid="{9013D6F2-4057-1549-8458-22F64A11914B}" name="Number of samples" dataDxfId="120" totalsRowDxfId="119">
      <calculatedColumnFormula>_xlfn.XLOOKUP(Tabell7[[#This Row],[Dataset (.h5)]],Datasett[Datasett (.h5)],Datasett[total]," ")</calculatedColumnFormula>
    </tableColumn>
    <tableColumn id="32" xr3:uid="{5F30ED08-C51C-C540-B58B-90E81F095450}" name="Normale" dataDxfId="118" totalsRowDxfId="117">
      <calculatedColumnFormula>IFERROR(_xlfn.XLOOKUP(Tabell7[[#This Row],[Dataset (.h5)]],Datasett[Datasett (.h5)],Datasett[Normale]," ")/Tabell7[[#This Row],[Number of samples]]," ")</calculatedColumnFormula>
    </tableColumn>
    <tableColumn id="33" xr3:uid="{E33FA620-3D61-8A48-B90A-AE8271370BA0}" name="1 artrose/ sklerose" dataDxfId="116" totalsRowDxfId="115">
      <calculatedColumnFormula>IFERROR(_xlfn.XLOOKUP(Tabell7[[#This Row],[Dataset (.h5)]],Datasett[Datasett (.h5)],Datasett[1 artrose/sklerose]," ")/Tabell7[[#This Row],[Number of samples]]," ")</calculatedColumnFormula>
    </tableColumn>
    <tableColumn id="34" xr3:uid="{A3B5D042-C018-8C4B-9D33-20CFE8EE797A}" name="2 artrose" dataDxfId="114" totalsRowDxfId="113">
      <calculatedColumnFormula>IFERROR(_xlfn.XLOOKUP(Tabell7[[#This Row],[Dataset (.h5)]],Datasett[Datasett (.h5)],Datasett[2 artrose]," ")/Tabell7[[#This Row],[Number of samples]]," ")</calculatedColumnFormula>
    </tableColumn>
    <tableColumn id="35" xr3:uid="{6913F6B2-309C-6348-8262-436F450A20DD}" name="2 MCD" dataDxfId="112" totalsRowDxfId="111">
      <calculatedColumnFormula>IFERROR(_xlfn.XLOOKUP(Tabell7[[#This Row],[Dataset (.h5)]],Datasett[Datasett (.h5)],Datasett[2 MCD]," ")/Tabell7[[#This Row],[Number of samples]]," ")</calculatedColumnFormula>
    </tableColumn>
    <tableColumn id="36" xr3:uid="{45B35ED0-8266-A742-A223-EFEA6AA7C451}" name="3 artrose" dataDxfId="110" totalsRowDxfId="109">
      <calculatedColumnFormula>IFERROR(_xlfn.XLOOKUP(Tabell7[[#This Row],[Dataset (.h5)]],Datasett[Datasett (.h5)],Datasett[3 artrose]," ")/Tabell7[[#This Row],[Number of samples]]," ")</calculatedColumnFormula>
    </tableColumn>
    <tableColumn id="37" xr3:uid="{7673CF8B-E92C-9E49-9E5A-21A2E52E3C75}" name="3 MCD" dataDxfId="108" totalsRowDxfId="107">
      <calculatedColumnFormula>IFERROR(_xlfn.XLOOKUP(Tabell7[[#This Row],[Dataset (.h5)]],Datasett[Datasett (.h5)],Datasett[3 MCD]," ")/Tabell7[[#This Row],[Number of samples]]," ")</calculatedColumnFormula>
    </tableColumn>
    <tableColumn id="38" xr3:uid="{8967EAF0-4E77-9A4B-9E28-CB4A220B066D}" name="3 OCD" dataDxfId="106" totalsRowDxfId="105">
      <calculatedColumnFormula>IFERROR(_xlfn.XLOOKUP(Tabell7[[#This Row],[Dataset (.h5)]],Datasett[Datasett (.h5)],Datasett[3 OCD]," ")/Tabell7[[#This Row],[Number of samples]]," ")</calculatedColumnFormula>
    </tableColumn>
    <tableColumn id="39" xr3:uid="{E2F6D075-8C21-1A42-AC6D-F62F1D2CC75A}" name="3 UAP" totalsRowFunction="sum" dataDxfId="104" totalsRowDxfId="103">
      <calculatedColumnFormula>IFERROR(_xlfn.XLOOKUP(Tabell7[[#This Row],[Dataset (.h5)]],Datasett[Datasett (.h5)],Datasett[3 UAP]," ")/Tabell7[[#This Row],[Number of samples]]," ")</calculatedColumnFormula>
    </tableColumn>
  </tableColumns>
  <tableStyleInfo name="TableStyleDark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9CF2F39-C098-489F-8447-12DE3B7E3E34}" name="Datasett" displayName="Datasett" ref="A1:K15" totalsRowShown="0">
  <autoFilter ref="A1:K15" xr:uid="{89CF2F39-C098-489F-8447-12DE3B7E3E34}"/>
  <tableColumns count="11">
    <tableColumn id="1" xr3:uid="{520C8A0E-1ED4-414C-B3CF-485D64AB20C7}" name="Datasett (.h5)"/>
    <tableColumn id="2" xr3:uid="{AB030DA9-230A-4FEC-A31F-CCB68408A96E}" name="Normale"/>
    <tableColumn id="3" xr3:uid="{AA6E82FB-848E-4F71-97F4-42F4D2818E23}" name="1 artrose/sklerose"/>
    <tableColumn id="4" xr3:uid="{D585F4E6-C527-4653-97CA-B6696892EB15}" name="2 artrose"/>
    <tableColumn id="5" xr3:uid="{E58AB72D-FEBB-40BF-97F9-E6DF22913686}" name="2 MCD"/>
    <tableColumn id="6" xr3:uid="{9334CCC3-614B-4CDD-A545-B001B72365DA}" name="3 artrose"/>
    <tableColumn id="7" xr3:uid="{D30827FD-4C38-417D-A588-0F43F453BB2A}" name="3 MCD"/>
    <tableColumn id="8" xr3:uid="{BA2E6284-7FF4-4639-838A-A94197E98F28}" name="3 OCD"/>
    <tableColumn id="9" xr3:uid="{3CE64307-21A6-471A-A44C-8E9DF59D5088}" name="3 UAP"/>
    <tableColumn id="10" xr3:uid="{F7B668F3-BDA7-48E6-A5A4-9286ADFBE947}" name="total" dataDxfId="102">
      <calculatedColumnFormula>SUM(Datasett[[#This Row],[Normale]:[3 UAP]])</calculatedColumnFormula>
    </tableColumn>
    <tableColumn id="11" xr3:uid="{E07DA207-141B-4922-AC9B-B23A76223486}" name="resize_shape"/>
  </tableColumns>
  <tableStyleInfo name="TableStyleMedium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BA10D70-7C0E-480E-9B36-AA008C1F3E66}" name="TotSamples" displayName="TotSamples" ref="A19:C28" totalsRowShown="0" dataDxfId="101">
  <autoFilter ref="A19:C28" xr:uid="{ABA10D70-7C0E-480E-9B36-AA008C1F3E66}"/>
  <tableColumns count="3">
    <tableColumn id="1" xr3:uid="{9367C2F4-BA53-4B73-BC17-0F30BBA248A0}" name="Diagnose" dataDxfId="100"/>
    <tableColumn id="2" xr3:uid="{A73B78D8-76F2-4640-96DB-00B6B7E49BD5}" name="antall" dataDxfId="99"/>
    <tableColumn id="3" xr3:uid="{7A8A5046-39D1-46FD-9D33-FDBB6B6A2F18}" name="encoding" dataDxfId="98"/>
  </tableColumns>
  <tableStyleInfo name="TableStyleDark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A2D2DFBD-4C7A-884A-8C03-6AB685F0FCAA}" name="Configs" displayName="Configs" ref="P1:W21" totalsRowShown="0" headerRowBorderDxfId="97" tableBorderDxfId="96">
  <autoFilter ref="P1:W21" xr:uid="{A2D2DFBD-4C7A-884A-8C03-6AB685F0FCAA}"/>
  <tableColumns count="8">
    <tableColumn id="8" xr3:uid="{3B11F352-B2F9-4778-A7C8-83510BF98403}" name="800_binary_error_predictor_2"/>
    <tableColumn id="7" xr3:uid="{B0D6E20E-1153-2046-9B84-5B5EAF36756C}" name="800_lvl1_vs_rest"/>
    <tableColumn id="6" xr3:uid="{52822339-5A21-334C-B7C4-610EEF0477BE}" name="800_arthrosis_vs_rest"/>
    <tableColumn id="5" xr3:uid="{03F775DB-D7CA-7949-A37B-2664E24B8DCD}" name="800_complete_3"/>
    <tableColumn id="4" xr3:uid="{8BF31107-DB3C-BE4C-AFB3-278F60D06103}" name="800_level_3"/>
    <tableColumn id="1" xr3:uid="{AAAD3200-C277-8C44-AFDF-2314CC39DE74}" name="800_normal_abnormal_2"/>
    <tableColumn id="2" xr3:uid="{DD27B474-BAF4-2C41-91E1-2DCF1299125B}" name="1280_normal_abnormal_2"/>
    <tableColumn id="3" xr3:uid="{3B7A0244-DE0B-8645-A898-763B34EE483F}" name="640_normal_abnormal_2"/>
  </tableColumns>
  <tableStyleInfo name="TableStyleDark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D8C67CA-0F45-4D0B-A78F-C8C2E7B04D3E}" name="ExpPlan" displayName="ExpPlan" ref="B3:AJ55" totalsRowShown="0" headerRowDxfId="95" dataDxfId="94">
  <autoFilter ref="B3:AJ55" xr:uid="{9D8C67CA-0F45-4D0B-A78F-C8C2E7B04D3E}"/>
  <sortState xmlns:xlrd2="http://schemas.microsoft.com/office/spreadsheetml/2017/richdata2" ref="B4:AJ53">
    <sortCondition ref="B3:B53"/>
  </sortState>
  <tableColumns count="35">
    <tableColumn id="10" xr3:uid="{297CBBB1-CEF3-4D52-B25C-F234E27CE52D}" name="ID" dataDxfId="93"/>
    <tableColumn id="11" xr3:uid="{E353F989-5BF8-45B8-8949-F6C676D76204}" name="command in orion" dataDxfId="92"/>
    <tableColumn id="9" xr3:uid="{EDE66111-75AD-4886-8F5F-33D321EFDCF5}" name="Dataset (.h5)" dataDxfId="91"/>
    <tableColumn id="8" xr3:uid="{0FEF8586-6DFE-4F21-906E-61CDE1E1565F}" name="Configuration(use as exp_name)" dataDxfId="90">
      <calculatedColumnFormula>_xlfn.TEXTJOIN("_",TRUE,ExpPlan[[#This Row],[Complexity]],ExpPlan[[#This Row],[Dataset (.h5)]],ExpPlan[[#This Row],[Learning rate]])</calculatedColumnFormula>
    </tableColumn>
    <tableColumn id="35" xr3:uid="{09E12E73-CDE7-5942-B09C-6689A3FE2FDD}" name="Batch size" dataDxfId="89"/>
    <tableColumn id="12" xr3:uid="{47803ADA-D1EC-428B-ABDF-5AA30BFE5692}" name="Input size" dataDxfId="88">
      <calculatedColumnFormula>_xlfn.XLOOKUP(ExpPlan[[#This Row],[Dataset (.h5)]],Andeler[Datasett (.h5)],Andeler[resize_shape]," ")</calculatedColumnFormula>
    </tableColumn>
    <tableColumn id="1" xr3:uid="{1351FAC0-EBEE-4BA8-9EAE-48A0C4E786D4}" name="Complexity" dataDxfId="87"/>
    <tableColumn id="2" xr3:uid="{1AC48A18-8C37-46D2-92DF-EE0E43838680}" name="Learning rate" dataDxfId="86"/>
    <tableColumn id="13" xr3:uid="{013524B8-6EDA-428E-928A-8D69084DBCF2}" name="Pretrain/scratch" dataDxfId="85"/>
    <tableColumn id="34" xr3:uid="{8083DDBC-AF87-49D0-BEB8-2DA5C128EB8C}" name="Train time" dataDxfId="84"/>
    <tableColumn id="7" xr3:uid="{4225B6E0-EA67-4275-859B-5704123F235C}" name="Note" dataDxfId="83"/>
    <tableColumn id="3" xr3:uid="{CD091131-9319-478E-88F0-55879634ADB0}" name="Epochs/best epoch" dataDxfId="82"/>
    <tableColumn id="25" xr3:uid="{B4241D22-2F25-4BA3-A0C3-65EED0CDFF92}" name="Acc val" dataDxfId="81"/>
    <tableColumn id="26" xr3:uid="{22F2F057-66E0-44E8-A47A-4F56A75F6CEC}" name="mcc val" dataDxfId="80"/>
    <tableColumn id="6" xr3:uid="{DFE9CE3C-73CB-4F02-893F-C552F3E4EC96}" name="f1 val" dataDxfId="79"/>
    <tableColumn id="22" xr3:uid="{BC4D7179-AD30-43C4-85B2-5BC77EC4D39E}" name="f1_0 val" dataDxfId="78"/>
    <tableColumn id="30" xr3:uid="{486AB243-5B5A-134C-8A3A-37D1466162E9}" name="AUC val" dataDxfId="77"/>
    <tableColumn id="31" xr3:uid="{9741E6FF-3578-0941-B0AF-93FAF13C442F}" name="roc_auc val" dataDxfId="76"/>
    <tableColumn id="29" xr3:uid="{90CA4D80-9868-41E1-93D1-6788975D93FE}" name="Acc test" dataDxfId="75"/>
    <tableColumn id="28" xr3:uid="{45321578-1D25-4F06-842B-2A040EF37070}" name="mcc test" dataDxfId="74"/>
    <tableColumn id="27" xr3:uid="{F04B76F1-E121-4233-B9CD-ECE9F402980F}" name="f1 test" dataDxfId="73"/>
    <tableColumn id="23" xr3:uid="{A93CBD81-1F3F-40C8-85FD-F250E43F1B4F}" name="f1_0 test" dataDxfId="72"/>
    <tableColumn id="32" xr3:uid="{D2C47A2E-D82F-DC40-ACA7-702F19C0B965}" name="AUC test" dataDxfId="71"/>
    <tableColumn id="33" xr3:uid="{B28DD31C-3362-7544-B7EA-DEA9D30D195A}" name="roc_auc test" dataDxfId="70"/>
    <tableColumn id="4" xr3:uid="{E0747ACF-C78D-4234-9044-EE223FA4D7A3}" name="Number of samples" dataDxfId="69">
      <calculatedColumnFormula>_xlfn.XLOOKUP(ExpPlan[[#This Row],[Dataset (.h5)]],Andeler[Datasett (.h5)],Andeler[total]," ")</calculatedColumnFormula>
    </tableColumn>
    <tableColumn id="24" xr3:uid="{E3125D4A-080E-4F62-ABAB-F7D70FCC51FE}" name="Normale" dataDxfId="68">
      <calculatedColumnFormula>IFERROR(_xlfn.XLOOKUP(ExpPlan[[#This Row],[Dataset (.h5)]],Andeler[Datasett (.h5)],Andeler[Normale]," ")/ExpPlan[[#This Row],[Number of samples]]," ")</calculatedColumnFormula>
    </tableColumn>
    <tableColumn id="14" xr3:uid="{2723FD3C-A81A-46DC-93BD-DA4AC4601590}" name="1 artrose" dataDxfId="67">
      <calculatedColumnFormula>IFERROR(_xlfn.XLOOKUP(ExpPlan[[#This Row],[Dataset (.h5)]],Andeler[Datasett (.h5)],Andeler[1 artrose]," ")/ExpPlan[[#This Row],[Number of samples]]," ")</calculatedColumnFormula>
    </tableColumn>
    <tableColumn id="15" xr3:uid="{3110089D-B7C2-40EE-BE8A-BA2775D297B1}" name="1 sklerose" dataDxfId="66">
      <calculatedColumnFormula>IFERROR(_xlfn.XLOOKUP(ExpPlan[[#This Row],[Dataset (.h5)]],Andeler[Datasett (.h5)],Andeler[1 sklerose]," ")/ExpPlan[[#This Row],[Number of samples]]," ")</calculatedColumnFormula>
    </tableColumn>
    <tableColumn id="16" xr3:uid="{7D6AC6B4-1695-4BD8-AFBC-944FD7D34FA9}" name="2 artrose" dataDxfId="65">
      <calculatedColumnFormula>IFERROR(_xlfn.XLOOKUP(ExpPlan[[#This Row],[Dataset (.h5)]],Andeler[Datasett (.h5)],Andeler[2 artrose]," ")/ExpPlan[[#This Row],[Number of samples]]," ")</calculatedColumnFormula>
    </tableColumn>
    <tableColumn id="17" xr3:uid="{634AFEFD-0289-4198-B641-045FD54DB55F}" name="2 PL" dataDxfId="64">
      <calculatedColumnFormula>IFERROR(_xlfn.XLOOKUP(ExpPlan[[#This Row],[Dataset (.h5)]],Andeler[Datasett (.h5)],Andeler[2 PL]," ")/ExpPlan[[#This Row],[Number of samples]]," ")</calculatedColumnFormula>
    </tableColumn>
    <tableColumn id="18" xr3:uid="{F88234FF-B3DD-41ED-8798-68B5DAB7E5B7}" name="3 artrose" dataDxfId="63">
      <calculatedColumnFormula>IFERROR(_xlfn.XLOOKUP(ExpPlan[[#This Row],[Dataset (.h5)]],Andeler[Datasett (.h5)],Andeler[3 artrose]," ")/ExpPlan[[#This Row],[Number of samples]]," ")</calculatedColumnFormula>
    </tableColumn>
    <tableColumn id="19" xr3:uid="{646EC36E-544A-49F0-AEF3-AA8DEDB57ECC}" name="3 MCD" dataDxfId="62">
      <calculatedColumnFormula>IFERROR(_xlfn.XLOOKUP(ExpPlan[[#This Row],[Dataset (.h5)]],Andeler[Datasett (.h5)],Andeler[3 MCD]," ")/ExpPlan[[#This Row],[Number of samples]]," ")</calculatedColumnFormula>
    </tableColumn>
    <tableColumn id="20" xr3:uid="{FF481BF2-FF38-4E56-89C4-E37D933475AC}" name="3 OCD" dataDxfId="61">
      <calculatedColumnFormula>IFERROR(_xlfn.XLOOKUP(ExpPlan[[#This Row],[Dataset (.h5)]],Andeler[Datasett (.h5)],Andeler[3 OCD]," ")/ExpPlan[[#This Row],[Number of samples]]," ")</calculatedColumnFormula>
    </tableColumn>
    <tableColumn id="21" xr3:uid="{9508D209-4D69-4883-8CE2-D8FEA619484B}" name="3 UAP" dataDxfId="60">
      <calculatedColumnFormula>IFERROR(_xlfn.XLOOKUP(ExpPlan[[#This Row],[Dataset (.h5)]],Andeler[Datasett (.h5)],Andeler[3 UAP]," ")/ExpPlan[[#This Row],[Number of samples]]," ")</calculatedColumnFormula>
    </tableColumn>
    <tableColumn id="5" xr3:uid="{3321067A-5F3E-42A5-B44C-73A22B25C1B5}" name="sum abnormal" dataDxfId="59">
      <calculatedColumnFormula>SUM(ExpPlan[[#This Row],[1 artrose]:[3 UAP]])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F446C4E-BDD2-438A-B90F-0DD42BB4F6A1}" name="GamleEksp" displayName="GamleEksp" ref="B59:AH77" totalsRowShown="0" dataDxfId="58">
  <autoFilter ref="B59:AH77" xr:uid="{FF446C4E-BDD2-438A-B90F-0DD42BB4F6A1}"/>
  <sortState xmlns:xlrd2="http://schemas.microsoft.com/office/spreadsheetml/2017/richdata2" ref="B60:AH72">
    <sortCondition ref="B59:B72"/>
  </sortState>
  <tableColumns count="33">
    <tableColumn id="11" xr3:uid="{724D395C-D0B1-42CD-ADB6-3C2475DE197D}" name="Job ID" dataDxfId="57"/>
    <tableColumn id="23" xr3:uid="{F32BE6B2-7BC2-47AA-A194-E89F1D74D875}" name="command in orion" dataDxfId="56"/>
    <tableColumn id="25" xr3:uid="{210BE545-B164-42E3-BA7E-FED51A89FEEC}" name="note" dataDxfId="55"/>
    <tableColumn id="10" xr3:uid="{ADEB758A-8B9B-440D-80F7-D3FAF8E0EF8A}" name="Dataset (.h5)" dataDxfId="54"/>
    <tableColumn id="9" xr3:uid="{F6176C37-1DA1-4547-9DDB-06772F7C8F4C}" name="Configuration" dataDxfId="53">
      <calculatedColumnFormula>_xlfn.TEXTJOIN("_",TRUE,GamleEksp[[#This Row],[Complexity]],GamleEksp[[#This Row],[Dataset (.h5)]],"bs",GamleEksp[[#This Row],[batch size]],GamleEksp[[#This Row],[Learning rate]])</calculatedColumnFormula>
    </tableColumn>
    <tableColumn id="2" xr3:uid="{754A9ACB-2ADC-41F4-9915-AABB79BF8AF9}" name="Input size" dataDxfId="52">
      <calculatedColumnFormula>_xlfn.XLOOKUP(GamleEksp[[#This Row],[Dataset (.h5)]],Andeler[Datasett (.h5)],Andeler[resize_shape]," ")</calculatedColumnFormula>
    </tableColumn>
    <tableColumn id="1" xr3:uid="{C5DF7579-40E3-4C7E-AF15-A8EF4906CF8A}" name="Complexity" dataDxfId="51">
      <calculatedColumnFormula>_xlfn.XLOOKUP(GamleEksp[[#This Row],[Dataset (.h5)]],Andeler[Datasett (.h5)],Andeler[resize_shape]," ")</calculatedColumnFormula>
    </tableColumn>
    <tableColumn id="3" xr3:uid="{739CF27F-7C74-49CE-A5AB-1935F83F0B3F}" name="Learning rate" dataDxfId="50"/>
    <tableColumn id="13" xr3:uid="{B98509E8-9DEA-4864-90E5-3557A9CBE930}" name="Pretrain/scratch" dataDxfId="49"/>
    <tableColumn id="7" xr3:uid="{B0EADC04-5EFE-457B-A3E8-F2BCFFEA5430}" name="batch size" dataDxfId="48"/>
    <tableColumn id="12" xr3:uid="{F761503B-7F49-4D29-8E36-BD1B0FFAF7A8}" name="Problem type" dataDxfId="47"/>
    <tableColumn id="24" xr3:uid="{7A730877-3563-4CE7-9894-074C175981CE}" name="Train time" dataDxfId="46"/>
    <tableColumn id="4" xr3:uid="{084DF342-9739-49F9-BFB3-A8BAADAB1BEE}" name="Epochs/best epoch" dataDxfId="45"/>
    <tableColumn id="29" xr3:uid="{E9F3FF56-FB39-4880-B33B-7B4A17C3D6FF}" name="AUC val" dataDxfId="44"/>
    <tableColumn id="28" xr3:uid="{C7672A82-1E79-4052-B45D-0A5DDF10F84C}" name="roc_auc val" dataDxfId="43"/>
    <tableColumn id="26" xr3:uid="{8A57E2A5-52C2-4B2A-AC9F-9FC1F7040C31}" name="Binary acc val" dataDxfId="42"/>
    <tableColumn id="27" xr3:uid="{17092434-3C78-4C3E-B8D4-4EFDFD56F910}" name="mcc val" dataDxfId="41"/>
    <tableColumn id="6" xr3:uid="{29AE0673-DE2A-4B1F-B989-76F941D97C45}" name="Accuracy val" dataDxfId="40"/>
    <tableColumn id="30" xr3:uid="{F1957B1C-5E32-4A44-B11A-05B3D57FC020}" name="AUC test" dataDxfId="39"/>
    <tableColumn id="31" xr3:uid="{1316946B-C622-4C4E-925A-D6109437189C}" name="roc_auc test" dataDxfId="38"/>
    <tableColumn id="32" xr3:uid="{0C742EDF-59D7-4D0B-9CE3-3F13498FDFAC}" name="Binary acc test" dataDxfId="37"/>
    <tableColumn id="33" xr3:uid="{C62ADE68-48F3-43D3-AA5E-72DA56F2F87F}" name="mcc test" dataDxfId="36"/>
    <tableColumn id="34" xr3:uid="{0962683D-1CF9-4E76-AF95-2FC0F8F98781}" name="Accuracy test" dataDxfId="35"/>
    <tableColumn id="5" xr3:uid="{01AD6B79-E1FF-46F2-ADFC-8DAB11A61CA8}" name="Number of samples" dataDxfId="34">
      <calculatedColumnFormula>_xlfn.XLOOKUP(GamleEksp[[#This Row],[Dataset (.h5)]],Andeler[Datasett (.h5)],Andeler[total]," ")</calculatedColumnFormula>
    </tableColumn>
    <tableColumn id="22" xr3:uid="{E2703A49-0E84-4224-BC00-E2406DE39C18}" name="Normale" dataDxfId="33">
      <calculatedColumnFormula>IFERROR(_xlfn.XLOOKUP(GamleEksp[[#This Row],[Dataset (.h5)]],Andeler[Datasett (.h5)],Andeler[Normale]," ")/GamleEksp[[#This Row],[Number of samples]]," ")</calculatedColumnFormula>
    </tableColumn>
    <tableColumn id="14" xr3:uid="{93C5B7D1-E2B4-496D-884D-5B45C28F3EDC}" name="1 artrose" dataDxfId="32">
      <calculatedColumnFormula>IFERROR(_xlfn.XLOOKUP(GamleEksp[[#This Row],[Dataset (.h5)]],Andeler[Datasett (.h5)],Andeler[1 artrose]," ")/GamleEksp[[#This Row],[Number of samples]]," ")</calculatedColumnFormula>
    </tableColumn>
    <tableColumn id="15" xr3:uid="{887D4BC6-D6E0-4011-8D6A-8E2AF0B76328}" name="1 sklerose" dataDxfId="31">
      <calculatedColumnFormula>IFERROR(_xlfn.XLOOKUP(GamleEksp[[#This Row],[Dataset (.h5)]],Andeler[Datasett (.h5)],Andeler[1 sklerose]," ")/GamleEksp[[#This Row],[Number of samples]]," ")</calculatedColumnFormula>
    </tableColumn>
    <tableColumn id="16" xr3:uid="{60733FE4-0D2C-4928-A8B2-661408DC8802}" name="2 artrose" dataDxfId="30">
      <calculatedColumnFormula>IFERROR(_xlfn.XLOOKUP(GamleEksp[[#This Row],[Dataset (.h5)]],Andeler[Datasett (.h5)],Andeler[2 artrose]," ")/GamleEksp[[#This Row],[Number of samples]]," ")</calculatedColumnFormula>
    </tableColumn>
    <tableColumn id="17" xr3:uid="{39F5F13C-64C9-483D-9A72-B0A634FECB4C}" name="2 PL" dataDxfId="29">
      <calculatedColumnFormula>IFERROR(_xlfn.XLOOKUP(GamleEksp[[#This Row],[Dataset (.h5)]],Andeler[Datasett (.h5)],Andeler[2 PL]," ")/GamleEksp[[#This Row],[Number of samples]]," ")</calculatedColumnFormula>
    </tableColumn>
    <tableColumn id="18" xr3:uid="{BD33BD20-3D7C-40D2-98CF-96722C7EB70D}" name="3 artrose" dataDxfId="28">
      <calculatedColumnFormula>IFERROR(_xlfn.XLOOKUP(GamleEksp[[#This Row],[Dataset (.h5)]],Andeler[Datasett (.h5)],Andeler[3 artrose]," ")/GamleEksp[[#This Row],[Number of samples]]," ")</calculatedColumnFormula>
    </tableColumn>
    <tableColumn id="19" xr3:uid="{BDA0550C-607E-46AC-828B-7AE7211F69BA}" name="3 MCD" dataDxfId="27">
      <calculatedColumnFormula>IFERROR(_xlfn.XLOOKUP(GamleEksp[[#This Row],[Dataset (.h5)]],Andeler[Datasett (.h5)],Andeler[3 MCD]," ")/GamleEksp[[#This Row],[Number of samples]]," ")</calculatedColumnFormula>
    </tableColumn>
    <tableColumn id="20" xr3:uid="{966B845B-06F4-4FBF-8F0E-681D4F91F3AC}" name="3 OCD" dataDxfId="26">
      <calculatedColumnFormula>IFERROR(_xlfn.XLOOKUP(GamleEksp[[#This Row],[Dataset (.h5)]],Andeler[Datasett (.h5)],Andeler[3 OCD]," ")/GamleEksp[[#This Row],[Number of samples]]," ")</calculatedColumnFormula>
    </tableColumn>
    <tableColumn id="21" xr3:uid="{6AA262C1-F64F-46D0-B13A-5E2CA99F0B06}" name="3 UAP" dataDxfId="25">
      <calculatedColumnFormula>IFERROR(_xlfn.XLOOKUP(GamleEksp[[#This Row],[Dataset (.h5)]],Andeler[Datasett (.h5)],Andeler[3 UAP]," ")/GamleEksp[[#This Row],[Number of samples]]," ")</calculatedColumnFormula>
    </tableColumn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A676F0C-30CC-46C4-9611-577CB7CB6107}" name="Andeler" displayName="Andeler" ref="B96:M105" totalsRowShown="0" headerRowDxfId="24" dataDxfId="23">
  <autoFilter ref="B96:M105" xr:uid="{6A676F0C-30CC-46C4-9611-577CB7CB6107}"/>
  <tableColumns count="12">
    <tableColumn id="1" xr3:uid="{2070BBB0-88BE-4E8A-BA92-4CBDB3C2A3F3}" name="Datasett (.h5)" dataDxfId="22"/>
    <tableColumn id="2" xr3:uid="{5BA59572-0F6E-4E9B-A201-82F531ADD08D}" name="Normale" dataDxfId="21"/>
    <tableColumn id="3" xr3:uid="{FB931E17-337C-47E3-AE3B-3B8EFF442388}" name="1 artrose" dataDxfId="20"/>
    <tableColumn id="4" xr3:uid="{65C70ED8-3D9C-4BAE-B069-6B1D19B36E5E}" name="1 sklerose" dataDxfId="19"/>
    <tableColumn id="5" xr3:uid="{F5A44B72-CC74-4108-B594-D9A1A11D5205}" name="2 artrose" dataDxfId="18"/>
    <tableColumn id="6" xr3:uid="{90304FAB-EB44-46A1-8727-5EB66A281658}" name="2 PL" dataDxfId="17"/>
    <tableColumn id="7" xr3:uid="{D9D7AE66-7170-471A-BCB2-19D1B05CA356}" name="3 artrose" dataDxfId="16"/>
    <tableColumn id="8" xr3:uid="{A507C9A0-0128-498D-92D2-1ECBEA70732E}" name="3 MCD" dataDxfId="15"/>
    <tableColumn id="9" xr3:uid="{734F47C1-5BBB-4295-8AF7-41273D8B7236}" name="3 OCD" dataDxfId="14"/>
    <tableColumn id="10" xr3:uid="{11B17C23-F230-45E1-9884-96E304DA903C}" name="3 UAP" dataDxfId="13"/>
    <tableColumn id="11" xr3:uid="{A8ECC955-69B0-4DBE-85B0-F6405CE8D334}" name="total" dataDxfId="12">
      <calculatedColumnFormula>SUM(Andeler[[#This Row],[Normale]:[3 UAP]])</calculatedColumnFormula>
    </tableColumn>
    <tableColumn id="12" xr3:uid="{21218C87-5B23-4CCD-92EF-3EDB8CCEE6DA}" name="resize_shape" dataDxfId="11">
      <calculatedColumnFormula>32*20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microsoft.com/office/2007/relationships/slicer" Target="../slicers/slicer1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5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7" Type="http://schemas.openxmlformats.org/officeDocument/2006/relationships/comments" Target="../comments2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openxmlformats.org/officeDocument/2006/relationships/table" Target="../tables/table8.xml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7D5DB2-A2AE-BF40-A1CB-5EB90B1A15E0}">
  <dimension ref="A1:AL53"/>
  <sheetViews>
    <sheetView topLeftCell="A40" zoomScale="62" zoomScaleNormal="85" workbookViewId="0">
      <selection activeCell="E47" sqref="E47"/>
    </sheetView>
  </sheetViews>
  <sheetFormatPr baseColWidth="10" defaultColWidth="11.5" defaultRowHeight="15"/>
  <cols>
    <col min="1" max="1" width="12.33203125" customWidth="1"/>
    <col min="2" max="2" width="63.5" customWidth="1"/>
    <col min="3" max="3" width="20.5" customWidth="1"/>
    <col min="4" max="4" width="32.6640625" bestFit="1" customWidth="1"/>
    <col min="5" max="5" width="58.33203125" bestFit="1" customWidth="1"/>
    <col min="6" max="6" width="14" bestFit="1" customWidth="1"/>
    <col min="7" max="7" width="13.33203125" bestFit="1" customWidth="1"/>
    <col min="8" max="8" width="15" bestFit="1" customWidth="1"/>
    <col min="9" max="9" width="14.33203125" bestFit="1" customWidth="1"/>
    <col min="10" max="10" width="11.5" bestFit="1" customWidth="1"/>
    <col min="11" max="11" width="15.1640625" bestFit="1" customWidth="1"/>
    <col min="12" max="12" width="10.33203125" bestFit="1" customWidth="1"/>
    <col min="13" max="13" width="9.5" bestFit="1" customWidth="1"/>
    <col min="14" max="14" width="10.5" bestFit="1" customWidth="1"/>
    <col min="15" max="15" width="13.5" bestFit="1" customWidth="1"/>
    <col min="16" max="16" width="23.33203125" bestFit="1" customWidth="1"/>
    <col min="17" max="17" width="19.5" bestFit="1" customWidth="1"/>
    <col min="18" max="18" width="10.33203125" bestFit="1" customWidth="1"/>
    <col min="19" max="19" width="8.6640625" bestFit="1" customWidth="1"/>
    <col min="20" max="20" width="10.83203125" bestFit="1" customWidth="1"/>
    <col min="21" max="21" width="11.1640625" bestFit="1" customWidth="1"/>
    <col min="22" max="22" width="14.1640625" bestFit="1" customWidth="1"/>
    <col min="23" max="23" width="24.1640625" bestFit="1" customWidth="1"/>
    <col min="24" max="24" width="20.1640625" bestFit="1" customWidth="1"/>
    <col min="25" max="25" width="19.33203125" bestFit="1" customWidth="1"/>
    <col min="26" max="26" width="9.33203125" bestFit="1" customWidth="1"/>
    <col min="27" max="27" width="11.6640625" bestFit="1" customWidth="1"/>
    <col min="28" max="28" width="11.1640625" bestFit="1" customWidth="1"/>
    <col min="29" max="29" width="10.5" bestFit="1" customWidth="1"/>
    <col min="30" max="30" width="11.83203125" bestFit="1" customWidth="1"/>
    <col min="31" max="31" width="11.1640625" bestFit="1" customWidth="1"/>
    <col min="32" max="32" width="9.33203125" bestFit="1" customWidth="1"/>
    <col min="33" max="33" width="11.1640625" bestFit="1" customWidth="1"/>
    <col min="34" max="34" width="15" bestFit="1" customWidth="1"/>
    <col min="35" max="35" width="15.83203125" customWidth="1"/>
    <col min="36" max="36" width="14.33203125" bestFit="1" customWidth="1"/>
    <col min="37" max="37" width="15" bestFit="1" customWidth="1"/>
    <col min="38" max="38" width="12" bestFit="1" customWidth="1"/>
    <col min="39" max="39" width="21.6640625" customWidth="1"/>
    <col min="40" max="40" width="16.6640625" bestFit="1" customWidth="1"/>
    <col min="41" max="41" width="14.6640625" bestFit="1" customWidth="1"/>
  </cols>
  <sheetData>
    <row r="1" spans="1:38" s="95" customFormat="1" ht="30">
      <c r="A1" s="92" t="s">
        <v>415</v>
      </c>
      <c r="B1" s="92" t="s">
        <v>85</v>
      </c>
      <c r="C1" s="92" t="s">
        <v>414</v>
      </c>
      <c r="D1" s="92" t="s">
        <v>4</v>
      </c>
      <c r="E1" s="92" t="s">
        <v>66</v>
      </c>
      <c r="F1" s="92" t="s">
        <v>205</v>
      </c>
      <c r="G1" s="92" t="s">
        <v>211</v>
      </c>
      <c r="H1" s="92" t="s">
        <v>206</v>
      </c>
      <c r="I1" s="92" t="s">
        <v>210</v>
      </c>
      <c r="J1" s="92" t="s">
        <v>207</v>
      </c>
      <c r="K1" s="92" t="s">
        <v>212</v>
      </c>
      <c r="L1" s="92" t="s">
        <v>227</v>
      </c>
      <c r="M1" s="92" t="s">
        <v>365</v>
      </c>
      <c r="N1" s="92" t="s">
        <v>364</v>
      </c>
      <c r="O1" s="93" t="s">
        <v>126</v>
      </c>
      <c r="P1" s="93" t="s">
        <v>213</v>
      </c>
      <c r="Q1" s="93" t="s">
        <v>117</v>
      </c>
      <c r="R1" s="93" t="s">
        <v>118</v>
      </c>
      <c r="S1" s="93" t="s">
        <v>119</v>
      </c>
      <c r="T1" s="93" t="s">
        <v>124</v>
      </c>
      <c r="U1" s="93" t="s">
        <v>214</v>
      </c>
      <c r="V1" s="93" t="s">
        <v>11</v>
      </c>
      <c r="W1" s="93" t="s">
        <v>120</v>
      </c>
      <c r="X1" s="93" t="s">
        <v>121</v>
      </c>
      <c r="Y1" s="92" t="s">
        <v>12</v>
      </c>
      <c r="Z1" s="92" t="s">
        <v>413</v>
      </c>
      <c r="AA1" s="94" t="s">
        <v>224</v>
      </c>
      <c r="AB1" s="94" t="s">
        <v>16</v>
      </c>
      <c r="AC1" s="94" t="s">
        <v>215</v>
      </c>
      <c r="AD1" s="94" t="s">
        <v>18</v>
      </c>
      <c r="AE1" s="94" t="s">
        <v>19</v>
      </c>
      <c r="AF1" s="94" t="s">
        <v>20</v>
      </c>
      <c r="AG1" s="94" t="s">
        <v>21</v>
      </c>
      <c r="AH1" s="92" t="s">
        <v>412</v>
      </c>
      <c r="AI1" s="114" t="s">
        <v>374</v>
      </c>
      <c r="AJ1" s="114" t="s">
        <v>67</v>
      </c>
      <c r="AK1" s="114" t="s">
        <v>397</v>
      </c>
      <c r="AL1" s="114" t="s">
        <v>398</v>
      </c>
    </row>
    <row r="2" spans="1:38" s="96" customFormat="1" ht="75">
      <c r="A2" s="96">
        <v>11805859</v>
      </c>
      <c r="B2" s="97" t="s">
        <v>216</v>
      </c>
      <c r="C2" s="103" t="s">
        <v>231</v>
      </c>
      <c r="D2" s="96" t="s">
        <v>219</v>
      </c>
      <c r="E2" s="96" t="str">
        <f>_xlfn.TEXTJOIN("_",TRUE,BinEksp[[#This Row],[Kompleksitet]],BinEksp[[#This Row],[Dataset (.h5)]],_xlfn.TEXTJOIN("",TRUE,"bs",BinEksp[[#This Row],[Partistørrelse]]),BinEksp[[#This Row],[Læringsrate]],IF(BinEksp[[#This Row],[Augmentering]]="ja","aug",""),IF(BinEksp[[#This Row],[Validering]]="ja","flip",""))</f>
        <v>B1_800_normal_abnormal_1_bs25_0.0005</v>
      </c>
      <c r="F2" s="96" t="s">
        <v>35</v>
      </c>
      <c r="G2" s="96">
        <v>5.0000000000000001E-4</v>
      </c>
      <c r="H2" s="96" t="s">
        <v>208</v>
      </c>
      <c r="I2" s="96">
        <v>25</v>
      </c>
      <c r="J2" s="96" t="s">
        <v>208</v>
      </c>
      <c r="K2" s="96" t="s">
        <v>149</v>
      </c>
      <c r="L2" s="102">
        <v>3.6331018518518519E-2</v>
      </c>
      <c r="M2" s="96">
        <v>50</v>
      </c>
      <c r="N2" s="96">
        <v>49</v>
      </c>
      <c r="O2" s="100">
        <v>0.85956880000000002</v>
      </c>
      <c r="P2" s="100">
        <v>0.83255816000000005</v>
      </c>
      <c r="Q2" s="100">
        <v>0.58759336136592499</v>
      </c>
      <c r="R2" s="100">
        <v>0.68421052631578905</v>
      </c>
      <c r="S2" s="100">
        <v>0.886075949367088</v>
      </c>
      <c r="T2" s="100">
        <v>0.83302825999999996</v>
      </c>
      <c r="U2" s="100">
        <v>0.81860465000000004</v>
      </c>
      <c r="V2" s="100">
        <v>0.55073365847782896</v>
      </c>
      <c r="W2" s="100">
        <v>0.65486725663716805</v>
      </c>
      <c r="X2" s="100">
        <v>0.876971608832807</v>
      </c>
      <c r="Y2" s="98">
        <f>_xlfn.XLOOKUP(BinEksp[[#This Row],[Dataset (.h5)]],Datasett[Datasett (.h5)],Datasett[total]," ")</f>
        <v>862</v>
      </c>
      <c r="Z2" s="99">
        <f>IFERROR(_xlfn.XLOOKUP(BinEksp[[#This Row],[Dataset (.h5)]],Datasett[Datasett (.h5)],Datasett[Normale]," ")/BinEksp[[#This Row],[Number of samples]]," ")</f>
        <v>0.308584686774942</v>
      </c>
      <c r="AA2" s="99">
        <f>IFERROR(_xlfn.XLOOKUP(BinEksp[[#This Row],[Dataset (.h5)]],Datasett[Datasett (.h5)],Datasett[1 artrose/sklerose]," ")/BinEksp[[#This Row],[Number of samples]]," ")</f>
        <v>0.29698375870069604</v>
      </c>
      <c r="AB2" s="99">
        <f>IFERROR(_xlfn.XLOOKUP(BinEksp[[#This Row],[Dataset (.h5)]],Datasett[Datasett (.h5)],Datasett[2 artrose]," ")/BinEksp[[#This Row],[Number of samples]]," ")</f>
        <v>0.1519721577726218</v>
      </c>
      <c r="AC2" s="99">
        <f>IFERROR(_xlfn.XLOOKUP(BinEksp[[#This Row],[Dataset (.h5)]],Datasett[Datasett (.h5)],Datasett[2 MCD]," ")/BinEksp[[#This Row],[Number of samples]]," ")</f>
        <v>6.3805104408352672E-2</v>
      </c>
      <c r="AD2" s="99">
        <f>IFERROR(_xlfn.XLOOKUP(BinEksp[[#This Row],[Dataset (.h5)]],Datasett[Datasett (.h5)],Datasett[3 artrose]," ")/BinEksp[[#This Row],[Number of samples]]," ")</f>
        <v>5.5684454756380508E-2</v>
      </c>
      <c r="AE2" s="99">
        <f>IFERROR(_xlfn.XLOOKUP(BinEksp[[#This Row],[Dataset (.h5)]],Datasett[Datasett (.h5)],Datasett[3 MCD]," ")/BinEksp[[#This Row],[Number of samples]]," ")</f>
        <v>0.10672853828306264</v>
      </c>
      <c r="AF2" s="99">
        <f>IFERROR(_xlfn.XLOOKUP(BinEksp[[#This Row],[Dataset (.h5)]],Datasett[Datasett (.h5)],Datasett[3 OCD]," ")/BinEksp[[#This Row],[Number of samples]]," ")</f>
        <v>5.8004640371229696E-3</v>
      </c>
      <c r="AG2" s="99">
        <f>IFERROR(_xlfn.XLOOKUP(BinEksp[[#This Row],[Dataset (.h5)]],Datasett[Datasett (.h5)],Datasett[3 UAP]," ")/BinEksp[[#This Row],[Number of samples]]," ")</f>
        <v>1.0440835266821345E-2</v>
      </c>
      <c r="AH2" s="101">
        <f>SUM(BinEksp[[#This Row],[1 artrose/ sklerose]:[3 UAP]])</f>
        <v>0.691415313225058</v>
      </c>
      <c r="AI2" s="115" t="str">
        <f>_xlfn.TEXTJOIN("_",TRUE,BinEksp[[#This Row],[Kompleksitet]],BinEksp[[#This Row],[Læringsrate]],IF(BinEksp[[#This Row],[Augmentering]]="ja","aug",""),IF(BinEksp[[#This Row],[Validering]]="ja","flip",""))</f>
        <v>B1_0.0005</v>
      </c>
      <c r="AJ2" s="99" t="s">
        <v>340</v>
      </c>
      <c r="AK2" s="99" t="str">
        <f>_xlfn.TEXTJOIN("_",TRUE,BinEksp[[#This Row],[Kompleksitet]],BinEksp[[#This Row],[Læringsrate]],IF(BinEksp[[#This Row],[Augmentering]]="ja","aug",""))</f>
        <v>B1_0.0005</v>
      </c>
      <c r="AL2" s="99" t="str">
        <f>_xlfn.TEXTJOIN("",TRUE,BinEksp[[#This Row],[Kompleksitet]],IF(BinEksp[[#This Row],[Augmentering]]="Ja","B","A"))</f>
        <v>B1A</v>
      </c>
    </row>
    <row r="3" spans="1:38" ht="45">
      <c r="A3" s="96">
        <v>11807391</v>
      </c>
      <c r="B3" s="97" t="s">
        <v>217</v>
      </c>
      <c r="C3" s="103"/>
      <c r="D3" s="96" t="s">
        <v>220</v>
      </c>
      <c r="E3" s="96" t="str">
        <f>_xlfn.TEXTJOIN("_",TRUE,BinEksp[[#This Row],[Kompleksitet]],BinEksp[[#This Row],[Dataset (.h5)]],_xlfn.TEXTJOIN("",TRUE,"bs",BinEksp[[#This Row],[Partistørrelse]]),BinEksp[[#This Row],[Læringsrate]],IF(BinEksp[[#This Row],[Augmentering]]="ja","aug",""),IF(BinEksp[[#This Row],[Validering]]="ja","flip",""))</f>
        <v>B1_800_normal_abnormal_2_bs25_0.0005</v>
      </c>
      <c r="F3" s="96" t="s">
        <v>35</v>
      </c>
      <c r="G3" s="96">
        <v>5.0000000000000001E-4</v>
      </c>
      <c r="H3" s="96" t="s">
        <v>208</v>
      </c>
      <c r="I3" s="96">
        <v>25</v>
      </c>
      <c r="J3" s="96" t="s">
        <v>208</v>
      </c>
      <c r="K3" s="96" t="s">
        <v>149</v>
      </c>
      <c r="L3" s="102">
        <v>4.2696759259259261E-2</v>
      </c>
      <c r="M3" s="96">
        <v>50</v>
      </c>
      <c r="N3" s="96">
        <v>49</v>
      </c>
      <c r="O3" s="100">
        <v>0.94062584999999999</v>
      </c>
      <c r="P3" s="100">
        <v>0.875</v>
      </c>
      <c r="Q3" s="100">
        <v>0.76152380952380905</v>
      </c>
      <c r="R3" s="100">
        <v>0.875</v>
      </c>
      <c r="S3" s="100">
        <v>0.875</v>
      </c>
      <c r="T3" s="100">
        <v>0.91956459999999995</v>
      </c>
      <c r="U3" s="100">
        <v>0.83088240000000002</v>
      </c>
      <c r="V3" s="100">
        <v>0.67478669228298305</v>
      </c>
      <c r="W3" s="100">
        <v>0.82962962962962905</v>
      </c>
      <c r="X3" s="100">
        <v>0.83211678832116798</v>
      </c>
      <c r="Y3" s="98">
        <f>_xlfn.XLOOKUP(BinEksp[[#This Row],[Dataset (.h5)]],Datasett[Datasett (.h5)],Datasett[total]," ")</f>
        <v>1090</v>
      </c>
      <c r="Z3" s="99">
        <f>IFERROR(_xlfn.XLOOKUP(BinEksp[[#This Row],[Dataset (.h5)]],Datasett[Datasett (.h5)],Datasett[Normale]," ")/BinEksp[[#This Row],[Number of samples]]," ")</f>
        <v>0.45871559633027525</v>
      </c>
      <c r="AA3" s="99">
        <f>IFERROR(_xlfn.XLOOKUP(BinEksp[[#This Row],[Dataset (.h5)]],Datasett[Datasett (.h5)],Datasett[1 artrose/sklerose]," ")/BinEksp[[#This Row],[Number of samples]]," ")</f>
        <v>0.23577981651376148</v>
      </c>
      <c r="AB3" s="99">
        <f>IFERROR(_xlfn.XLOOKUP(BinEksp[[#This Row],[Dataset (.h5)]],Datasett[Datasett (.h5)],Datasett[2 artrose]," ")/BinEksp[[#This Row],[Number of samples]]," ")</f>
        <v>0.11376146788990826</v>
      </c>
      <c r="AC3" s="99">
        <f>IFERROR(_xlfn.XLOOKUP(BinEksp[[#This Row],[Dataset (.h5)]],Datasett[Datasett (.h5)],Datasett[2 MCD]," ")/BinEksp[[#This Row],[Number of samples]]," ")</f>
        <v>4.8623853211009177E-2</v>
      </c>
      <c r="AD3" s="99">
        <f>IFERROR(_xlfn.XLOOKUP(BinEksp[[#This Row],[Dataset (.h5)]],Datasett[Datasett (.h5)],Datasett[3 artrose]," ")/BinEksp[[#This Row],[Number of samples]]," ")</f>
        <v>4.9541284403669728E-2</v>
      </c>
      <c r="AE3" s="99">
        <f>IFERROR(_xlfn.XLOOKUP(BinEksp[[#This Row],[Dataset (.h5)]],Datasett[Datasett (.h5)],Datasett[3 MCD]," ")/BinEksp[[#This Row],[Number of samples]]," ")</f>
        <v>7.5229357798165142E-2</v>
      </c>
      <c r="AF3" s="99">
        <f>IFERROR(_xlfn.XLOOKUP(BinEksp[[#This Row],[Dataset (.h5)]],Datasett[Datasett (.h5)],Datasett[3 OCD]," ")/BinEksp[[#This Row],[Number of samples]]," ")</f>
        <v>7.3394495412844041E-3</v>
      </c>
      <c r="AG3" s="99">
        <f>IFERROR(_xlfn.XLOOKUP(BinEksp[[#This Row],[Dataset (.h5)]],Datasett[Datasett (.h5)],Datasett[3 UAP]," ")/BinEksp[[#This Row],[Number of samples]]," ")</f>
        <v>1.1009174311926606E-2</v>
      </c>
      <c r="AH3" s="101">
        <f>SUM(BinEksp[[#This Row],[1 artrose/ sklerose]:[3 UAP]])</f>
        <v>0.54128440366972475</v>
      </c>
      <c r="AI3" s="115" t="str">
        <f>_xlfn.TEXTJOIN("_",TRUE,BinEksp[[#This Row],[Kompleksitet]],BinEksp[[#This Row],[Læringsrate]],IF(BinEksp[[#This Row],[Augmentering]]="ja","aug",""),IF(BinEksp[[#This Row],[Validering]]="ja","flip",""))</f>
        <v>B1_0.0005</v>
      </c>
      <c r="AJ3" s="99" t="s">
        <v>340</v>
      </c>
      <c r="AK3" s="99" t="str">
        <f>_xlfn.TEXTJOIN("_",TRUE,BinEksp[[#This Row],[Kompleksitet]],BinEksp[[#This Row],[Læringsrate]],IF(BinEksp[[#This Row],[Augmentering]]="ja","aug",""))</f>
        <v>B1_0.0005</v>
      </c>
      <c r="AL3" s="99" t="str">
        <f>_xlfn.TEXTJOIN("",TRUE,BinEksp[[#This Row],[Kompleksitet]],IF(BinEksp[[#This Row],[Augmentering]]="Ja","B","A"))</f>
        <v>B1A</v>
      </c>
    </row>
    <row r="4" spans="1:38" ht="45">
      <c r="A4" s="96">
        <v>11807467</v>
      </c>
      <c r="B4" s="97" t="s">
        <v>225</v>
      </c>
      <c r="C4" s="103"/>
      <c r="D4" s="96" t="s">
        <v>220</v>
      </c>
      <c r="E4" s="96" t="str">
        <f>_xlfn.TEXTJOIN("_",TRUE,BinEksp[[#This Row],[Kompleksitet]],BinEksp[[#This Row],[Dataset (.h5)]],_xlfn.TEXTJOIN("",TRUE,"bs",BinEksp[[#This Row],[Partistørrelse]]),BinEksp[[#This Row],[Læringsrate]],IF(BinEksp[[#This Row],[Augmentering]]="ja","aug",""),IF(BinEksp[[#This Row],[Validering]]="ja","flip",""))</f>
        <v>B2_800_normal_abnormal_2_bs25_0.0005</v>
      </c>
      <c r="F4" s="96" t="s">
        <v>25</v>
      </c>
      <c r="G4" s="96">
        <v>5.0000000000000001E-4</v>
      </c>
      <c r="H4" s="96" t="s">
        <v>208</v>
      </c>
      <c r="I4" s="96">
        <v>25</v>
      </c>
      <c r="J4" s="96" t="s">
        <v>208</v>
      </c>
      <c r="K4" s="96" t="s">
        <v>149</v>
      </c>
      <c r="L4" s="102">
        <v>4.6307870370370374E-2</v>
      </c>
      <c r="M4" s="96">
        <v>50</v>
      </c>
      <c r="N4" s="96">
        <v>44</v>
      </c>
      <c r="O4" s="100">
        <v>0.96745585999999995</v>
      </c>
      <c r="P4" s="100">
        <v>0.90808820000000001</v>
      </c>
      <c r="Q4" s="100">
        <v>0.81487749798714904</v>
      </c>
      <c r="R4" s="100">
        <v>0.91525423728813504</v>
      </c>
      <c r="S4" s="100">
        <v>0.89959839357429705</v>
      </c>
      <c r="T4" s="100">
        <v>0.94059855000000003</v>
      </c>
      <c r="U4" s="100">
        <v>0.88235295000000002</v>
      </c>
      <c r="V4" s="100">
        <v>0.76405555874165298</v>
      </c>
      <c r="W4" s="100">
        <v>0.88965517241379299</v>
      </c>
      <c r="X4" s="100">
        <v>0.87401574803149595</v>
      </c>
      <c r="Y4" s="98">
        <f>_xlfn.XLOOKUP(BinEksp[[#This Row],[Dataset (.h5)]],Datasett[Datasett (.h5)],Datasett[total]," ")</f>
        <v>1090</v>
      </c>
      <c r="Z4" s="99">
        <f>IFERROR(_xlfn.XLOOKUP(BinEksp[[#This Row],[Dataset (.h5)]],Datasett[Datasett (.h5)],Datasett[Normale]," ")/BinEksp[[#This Row],[Number of samples]]," ")</f>
        <v>0.45871559633027525</v>
      </c>
      <c r="AA4" s="99">
        <f>IFERROR(_xlfn.XLOOKUP(BinEksp[[#This Row],[Dataset (.h5)]],Datasett[Datasett (.h5)],Datasett[1 artrose/sklerose]," ")/BinEksp[[#This Row],[Number of samples]]," ")</f>
        <v>0.23577981651376148</v>
      </c>
      <c r="AB4" s="99">
        <f>IFERROR(_xlfn.XLOOKUP(BinEksp[[#This Row],[Dataset (.h5)]],Datasett[Datasett (.h5)],Datasett[2 artrose]," ")/BinEksp[[#This Row],[Number of samples]]," ")</f>
        <v>0.11376146788990826</v>
      </c>
      <c r="AC4" s="99">
        <f>IFERROR(_xlfn.XLOOKUP(BinEksp[[#This Row],[Dataset (.h5)]],Datasett[Datasett (.h5)],Datasett[2 MCD]," ")/BinEksp[[#This Row],[Number of samples]]," ")</f>
        <v>4.8623853211009177E-2</v>
      </c>
      <c r="AD4" s="99">
        <f>IFERROR(_xlfn.XLOOKUP(BinEksp[[#This Row],[Dataset (.h5)]],Datasett[Datasett (.h5)],Datasett[3 artrose]," ")/BinEksp[[#This Row],[Number of samples]]," ")</f>
        <v>4.9541284403669728E-2</v>
      </c>
      <c r="AE4" s="99">
        <f>IFERROR(_xlfn.XLOOKUP(BinEksp[[#This Row],[Dataset (.h5)]],Datasett[Datasett (.h5)],Datasett[3 MCD]," ")/BinEksp[[#This Row],[Number of samples]]," ")</f>
        <v>7.5229357798165142E-2</v>
      </c>
      <c r="AF4" s="99">
        <f>IFERROR(_xlfn.XLOOKUP(BinEksp[[#This Row],[Dataset (.h5)]],Datasett[Datasett (.h5)],Datasett[3 OCD]," ")/BinEksp[[#This Row],[Number of samples]]," ")</f>
        <v>7.3394495412844041E-3</v>
      </c>
      <c r="AG4" s="99">
        <f>IFERROR(_xlfn.XLOOKUP(BinEksp[[#This Row],[Dataset (.h5)]],Datasett[Datasett (.h5)],Datasett[3 UAP]," ")/BinEksp[[#This Row],[Number of samples]]," ")</f>
        <v>1.1009174311926606E-2</v>
      </c>
      <c r="AH4" s="101">
        <f>SUM(BinEksp[[#This Row],[1 artrose/ sklerose]:[3 UAP]])</f>
        <v>0.54128440366972475</v>
      </c>
      <c r="AI4" s="115" t="str">
        <f>_xlfn.TEXTJOIN("_",TRUE,BinEksp[[#This Row],[Kompleksitet]],BinEksp[[#This Row],[Læringsrate]],IF(BinEksp[[#This Row],[Augmentering]]="ja","aug",""),IF(BinEksp[[#This Row],[Validering]]="ja","flip",""))</f>
        <v>B2_0.0005</v>
      </c>
      <c r="AJ4" s="99" t="s">
        <v>340</v>
      </c>
      <c r="AK4" s="99" t="str">
        <f>_xlfn.TEXTJOIN("_",TRUE,BinEksp[[#This Row],[Kompleksitet]],BinEksp[[#This Row],[Læringsrate]],IF(BinEksp[[#This Row],[Augmentering]]="ja","aug",""))</f>
        <v>B2_0.0005</v>
      </c>
      <c r="AL4" s="99" t="str">
        <f>_xlfn.TEXTJOIN("",TRUE,BinEksp[[#This Row],[Kompleksitet]],IF(BinEksp[[#This Row],[Augmentering]]="Ja","B","A"))</f>
        <v>B2A</v>
      </c>
    </row>
    <row r="5" spans="1:38" ht="45">
      <c r="A5" s="96">
        <v>11807661</v>
      </c>
      <c r="B5" s="97" t="s">
        <v>226</v>
      </c>
      <c r="C5" s="103"/>
      <c r="D5" s="96" t="s">
        <v>220</v>
      </c>
      <c r="E5" s="96" t="str">
        <f>_xlfn.TEXTJOIN("_",TRUE,BinEksp[[#This Row],[Kompleksitet]],BinEksp[[#This Row],[Dataset (.h5)]],_xlfn.TEXTJOIN("",TRUE,"bs",BinEksp[[#This Row],[Partistørrelse]]),BinEksp[[#This Row],[Læringsrate]],IF(BinEksp[[#This Row],[Augmentering]]="ja","aug",""),IF(BinEksp[[#This Row],[Validering]]="ja","flip",""))</f>
        <v>B1_800_normal_abnormal_2_bs25_0.0001</v>
      </c>
      <c r="F5" s="96" t="s">
        <v>35</v>
      </c>
      <c r="G5" s="96">
        <v>1E-4</v>
      </c>
      <c r="H5" s="96" t="s">
        <v>208</v>
      </c>
      <c r="I5" s="96">
        <v>25</v>
      </c>
      <c r="J5" s="96" t="s">
        <v>208</v>
      </c>
      <c r="K5" s="96" t="s">
        <v>149</v>
      </c>
      <c r="L5" s="102">
        <v>5.9444444444444446E-2</v>
      </c>
      <c r="M5" s="96">
        <v>70</v>
      </c>
      <c r="N5" s="96">
        <v>70</v>
      </c>
      <c r="O5" s="100">
        <v>0.9237822</v>
      </c>
      <c r="P5" s="100">
        <v>0.86397060000000003</v>
      </c>
      <c r="Q5" s="100">
        <v>0.73033400242768398</v>
      </c>
      <c r="R5" s="100">
        <v>0.86925795053003496</v>
      </c>
      <c r="S5" s="100">
        <v>0.85823754789272</v>
      </c>
      <c r="T5" s="100">
        <v>0.88062583999999999</v>
      </c>
      <c r="U5" s="100">
        <v>0.79044115999999998</v>
      </c>
      <c r="V5" s="100">
        <v>0.57902098936260404</v>
      </c>
      <c r="W5" s="100">
        <v>0.80412371134020599</v>
      </c>
      <c r="X5" s="100">
        <v>0.77470355731225304</v>
      </c>
      <c r="Y5" s="98">
        <f>_xlfn.XLOOKUP(BinEksp[[#This Row],[Dataset (.h5)]],Datasett[Datasett (.h5)],Datasett[total]," ")</f>
        <v>1090</v>
      </c>
      <c r="Z5" s="99">
        <f>IFERROR(_xlfn.XLOOKUP(BinEksp[[#This Row],[Dataset (.h5)]],Datasett[Datasett (.h5)],Datasett[Normale]," ")/BinEksp[[#This Row],[Number of samples]]," ")</f>
        <v>0.45871559633027525</v>
      </c>
      <c r="AA5" s="99">
        <f>IFERROR(_xlfn.XLOOKUP(BinEksp[[#This Row],[Dataset (.h5)]],Datasett[Datasett (.h5)],Datasett[1 artrose/sklerose]," ")/BinEksp[[#This Row],[Number of samples]]," ")</f>
        <v>0.23577981651376148</v>
      </c>
      <c r="AB5" s="99">
        <f>IFERROR(_xlfn.XLOOKUP(BinEksp[[#This Row],[Dataset (.h5)]],Datasett[Datasett (.h5)],Datasett[2 artrose]," ")/BinEksp[[#This Row],[Number of samples]]," ")</f>
        <v>0.11376146788990826</v>
      </c>
      <c r="AC5" s="99">
        <f>IFERROR(_xlfn.XLOOKUP(BinEksp[[#This Row],[Dataset (.h5)]],Datasett[Datasett (.h5)],Datasett[2 MCD]," ")/BinEksp[[#This Row],[Number of samples]]," ")</f>
        <v>4.8623853211009177E-2</v>
      </c>
      <c r="AD5" s="99">
        <f>IFERROR(_xlfn.XLOOKUP(BinEksp[[#This Row],[Dataset (.h5)]],Datasett[Datasett (.h5)],Datasett[3 artrose]," ")/BinEksp[[#This Row],[Number of samples]]," ")</f>
        <v>4.9541284403669728E-2</v>
      </c>
      <c r="AE5" s="99">
        <f>IFERROR(_xlfn.XLOOKUP(BinEksp[[#This Row],[Dataset (.h5)]],Datasett[Datasett (.h5)],Datasett[3 MCD]," ")/BinEksp[[#This Row],[Number of samples]]," ")</f>
        <v>7.5229357798165142E-2</v>
      </c>
      <c r="AF5" s="99">
        <f>IFERROR(_xlfn.XLOOKUP(BinEksp[[#This Row],[Dataset (.h5)]],Datasett[Datasett (.h5)],Datasett[3 OCD]," ")/BinEksp[[#This Row],[Number of samples]]," ")</f>
        <v>7.3394495412844041E-3</v>
      </c>
      <c r="AG5" s="99">
        <f>IFERROR(_xlfn.XLOOKUP(BinEksp[[#This Row],[Dataset (.h5)]],Datasett[Datasett (.h5)],Datasett[3 UAP]," ")/BinEksp[[#This Row],[Number of samples]]," ")</f>
        <v>1.1009174311926606E-2</v>
      </c>
      <c r="AH5" s="101">
        <f>SUM(BinEksp[[#This Row],[1 artrose/ sklerose]:[3 UAP]])</f>
        <v>0.54128440366972475</v>
      </c>
      <c r="AI5" s="115" t="str">
        <f>_xlfn.TEXTJOIN("_",TRUE,BinEksp[[#This Row],[Kompleksitet]],BinEksp[[#This Row],[Læringsrate]],IF(BinEksp[[#This Row],[Augmentering]]="ja","aug",""),IF(BinEksp[[#This Row],[Validering]]="ja","flip",""))</f>
        <v>B1_0.0001</v>
      </c>
      <c r="AJ5" s="99" t="s">
        <v>340</v>
      </c>
      <c r="AK5" s="99" t="str">
        <f>_xlfn.TEXTJOIN("_",TRUE,BinEksp[[#This Row],[Kompleksitet]],BinEksp[[#This Row],[Læringsrate]],IF(BinEksp[[#This Row],[Augmentering]]="ja","aug",""))</f>
        <v>B1_0.0001</v>
      </c>
      <c r="AL5" s="99" t="str">
        <f>_xlfn.TEXTJOIN("",TRUE,BinEksp[[#This Row],[Kompleksitet]],IF(BinEksp[[#This Row],[Augmentering]]="Ja","B","A"))</f>
        <v>B1A</v>
      </c>
    </row>
    <row r="6" spans="1:38" ht="45">
      <c r="A6" s="96">
        <v>11807889</v>
      </c>
      <c r="B6" s="97" t="s">
        <v>228</v>
      </c>
      <c r="C6" s="103"/>
      <c r="D6" s="96" t="s">
        <v>220</v>
      </c>
      <c r="E6" s="96" t="str">
        <f>_xlfn.TEXTJOIN("_",TRUE,BinEksp[[#This Row],[Kompleksitet]],BinEksp[[#This Row],[Dataset (.h5)]],_xlfn.TEXTJOIN("",TRUE,"bs",BinEksp[[#This Row],[Partistørrelse]]),BinEksp[[#This Row],[Læringsrate]],IF(BinEksp[[#This Row],[Augmentering]]="ja","aug",""),IF(BinEksp[[#This Row],[Validering]]="ja","flip",""))</f>
        <v>B1_800_normal_abnormal_2_bs25_0.001</v>
      </c>
      <c r="F6" s="96" t="s">
        <v>35</v>
      </c>
      <c r="G6" s="96">
        <v>1E-3</v>
      </c>
      <c r="H6" s="96" t="s">
        <v>208</v>
      </c>
      <c r="I6" s="96">
        <v>25</v>
      </c>
      <c r="J6" s="96" t="s">
        <v>208</v>
      </c>
      <c r="K6" s="96" t="s">
        <v>149</v>
      </c>
      <c r="L6" s="102">
        <v>5.9074074074074077E-2</v>
      </c>
      <c r="M6" s="96">
        <v>70</v>
      </c>
      <c r="N6" s="96">
        <v>69</v>
      </c>
      <c r="O6" s="100">
        <v>0.94269376999999999</v>
      </c>
      <c r="P6" s="100">
        <v>0.87132350000000003</v>
      </c>
      <c r="Q6" s="100">
        <v>0.74081752757399</v>
      </c>
      <c r="R6" s="100">
        <v>0.88135593220338904</v>
      </c>
      <c r="S6" s="100">
        <v>0.85943775100401598</v>
      </c>
      <c r="T6" s="100">
        <v>0.87164629999999998</v>
      </c>
      <c r="U6" s="100">
        <v>0.80882350000000003</v>
      </c>
      <c r="V6" s="100">
        <v>0.61631751084392805</v>
      </c>
      <c r="W6" s="100">
        <v>0.82068965517241299</v>
      </c>
      <c r="X6" s="100">
        <v>0.79527559055118102</v>
      </c>
      <c r="Y6" s="98">
        <f>_xlfn.XLOOKUP(BinEksp[[#This Row],[Dataset (.h5)]],Datasett[Datasett (.h5)],Datasett[total]," ")</f>
        <v>1090</v>
      </c>
      <c r="Z6" s="99">
        <f>IFERROR(_xlfn.XLOOKUP(BinEksp[[#This Row],[Dataset (.h5)]],Datasett[Datasett (.h5)],Datasett[Normale]," ")/BinEksp[[#This Row],[Number of samples]]," ")</f>
        <v>0.45871559633027525</v>
      </c>
      <c r="AA6" s="99">
        <f>IFERROR(_xlfn.XLOOKUP(BinEksp[[#This Row],[Dataset (.h5)]],Datasett[Datasett (.h5)],Datasett[1 artrose/sklerose]," ")/BinEksp[[#This Row],[Number of samples]]," ")</f>
        <v>0.23577981651376148</v>
      </c>
      <c r="AB6" s="99">
        <f>IFERROR(_xlfn.XLOOKUP(BinEksp[[#This Row],[Dataset (.h5)]],Datasett[Datasett (.h5)],Datasett[2 artrose]," ")/BinEksp[[#This Row],[Number of samples]]," ")</f>
        <v>0.11376146788990826</v>
      </c>
      <c r="AC6" s="99">
        <f>IFERROR(_xlfn.XLOOKUP(BinEksp[[#This Row],[Dataset (.h5)]],Datasett[Datasett (.h5)],Datasett[2 MCD]," ")/BinEksp[[#This Row],[Number of samples]]," ")</f>
        <v>4.8623853211009177E-2</v>
      </c>
      <c r="AD6" s="99">
        <f>IFERROR(_xlfn.XLOOKUP(BinEksp[[#This Row],[Dataset (.h5)]],Datasett[Datasett (.h5)],Datasett[3 artrose]," ")/BinEksp[[#This Row],[Number of samples]]," ")</f>
        <v>4.9541284403669728E-2</v>
      </c>
      <c r="AE6" s="99">
        <f>IFERROR(_xlfn.XLOOKUP(BinEksp[[#This Row],[Dataset (.h5)]],Datasett[Datasett (.h5)],Datasett[3 MCD]," ")/BinEksp[[#This Row],[Number of samples]]," ")</f>
        <v>7.5229357798165142E-2</v>
      </c>
      <c r="AF6" s="99">
        <f>IFERROR(_xlfn.XLOOKUP(BinEksp[[#This Row],[Dataset (.h5)]],Datasett[Datasett (.h5)],Datasett[3 OCD]," ")/BinEksp[[#This Row],[Number of samples]]," ")</f>
        <v>7.3394495412844041E-3</v>
      </c>
      <c r="AG6" s="99">
        <f>IFERROR(_xlfn.XLOOKUP(BinEksp[[#This Row],[Dataset (.h5)]],Datasett[Datasett (.h5)],Datasett[3 UAP]," ")/BinEksp[[#This Row],[Number of samples]]," ")</f>
        <v>1.1009174311926606E-2</v>
      </c>
      <c r="AH6" s="101">
        <f>SUM(BinEksp[[#This Row],[1 artrose/ sklerose]:[3 UAP]])</f>
        <v>0.54128440366972475</v>
      </c>
      <c r="AI6" s="115" t="str">
        <f>_xlfn.TEXTJOIN("_",TRUE,BinEksp[[#This Row],[Kompleksitet]],BinEksp[[#This Row],[Læringsrate]],IF(BinEksp[[#This Row],[Augmentering]]="ja","aug",""),IF(BinEksp[[#This Row],[Validering]]="ja","flip",""))</f>
        <v>B1_0.001</v>
      </c>
      <c r="AJ6" s="99" t="s">
        <v>340</v>
      </c>
      <c r="AK6" s="99" t="str">
        <f>_xlfn.TEXTJOIN("_",TRUE,BinEksp[[#This Row],[Kompleksitet]],BinEksp[[#This Row],[Læringsrate]],IF(BinEksp[[#This Row],[Augmentering]]="ja","aug",""))</f>
        <v>B1_0.001</v>
      </c>
      <c r="AL6" s="99" t="str">
        <f>_xlfn.TEXTJOIN("",TRUE,BinEksp[[#This Row],[Kompleksitet]],IF(BinEksp[[#This Row],[Augmentering]]="Ja","B","A"))</f>
        <v>B1A</v>
      </c>
    </row>
    <row r="7" spans="1:38" ht="45">
      <c r="A7" s="96">
        <v>11807896</v>
      </c>
      <c r="B7" s="97" t="s">
        <v>229</v>
      </c>
      <c r="C7" s="103"/>
      <c r="D7" s="96" t="s">
        <v>220</v>
      </c>
      <c r="E7" s="96" t="str">
        <f>_xlfn.TEXTJOIN("_",TRUE,BinEksp[[#This Row],[Kompleksitet]],BinEksp[[#This Row],[Dataset (.h5)]],_xlfn.TEXTJOIN("",TRUE,"bs",BinEksp[[#This Row],[Partistørrelse]]),BinEksp[[#This Row],[Læringsrate]],IF(BinEksp[[#This Row],[Augmentering]]="ja","aug",""),IF(BinEksp[[#This Row],[Validering]]="ja","flip",""))</f>
        <v>B2_800_normal_abnormal_2_bs25_0.0001</v>
      </c>
      <c r="F7" s="96" t="s">
        <v>25</v>
      </c>
      <c r="G7" s="96">
        <v>1E-4</v>
      </c>
      <c r="H7" s="96" t="s">
        <v>208</v>
      </c>
      <c r="I7" s="96">
        <v>25</v>
      </c>
      <c r="J7" s="96" t="s">
        <v>208</v>
      </c>
      <c r="K7" s="96" t="s">
        <v>149</v>
      </c>
      <c r="L7" s="102">
        <v>6.0717592592592594E-2</v>
      </c>
      <c r="M7" s="96">
        <v>70</v>
      </c>
      <c r="N7" s="96">
        <v>45</v>
      </c>
      <c r="O7" s="100">
        <v>0.88263946999999998</v>
      </c>
      <c r="P7" s="100">
        <v>0.80882350000000003</v>
      </c>
      <c r="Q7" s="100">
        <v>0.61711114304694403</v>
      </c>
      <c r="R7" s="100">
        <v>0.81944444444444398</v>
      </c>
      <c r="S7" s="100">
        <v>0.796874999999999</v>
      </c>
      <c r="T7" s="100">
        <v>0.84353745000000002</v>
      </c>
      <c r="U7" s="100">
        <v>0.76470590000000005</v>
      </c>
      <c r="V7" s="100">
        <v>0.53449673899052397</v>
      </c>
      <c r="W7" s="100">
        <v>0.76978417266187005</v>
      </c>
      <c r="X7" s="100">
        <v>0.75939849624060096</v>
      </c>
      <c r="Y7" s="98">
        <f>_xlfn.XLOOKUP(BinEksp[[#This Row],[Dataset (.h5)]],Datasett[Datasett (.h5)],Datasett[total]," ")</f>
        <v>1090</v>
      </c>
      <c r="Z7" s="99">
        <f>IFERROR(_xlfn.XLOOKUP(BinEksp[[#This Row],[Dataset (.h5)]],Datasett[Datasett (.h5)],Datasett[Normale]," ")/BinEksp[[#This Row],[Number of samples]]," ")</f>
        <v>0.45871559633027525</v>
      </c>
      <c r="AA7" s="99">
        <f>IFERROR(_xlfn.XLOOKUP(BinEksp[[#This Row],[Dataset (.h5)]],Datasett[Datasett (.h5)],Datasett[1 artrose/sklerose]," ")/BinEksp[[#This Row],[Number of samples]]," ")</f>
        <v>0.23577981651376148</v>
      </c>
      <c r="AB7" s="99">
        <f>IFERROR(_xlfn.XLOOKUP(BinEksp[[#This Row],[Dataset (.h5)]],Datasett[Datasett (.h5)],Datasett[2 artrose]," ")/BinEksp[[#This Row],[Number of samples]]," ")</f>
        <v>0.11376146788990826</v>
      </c>
      <c r="AC7" s="99">
        <f>IFERROR(_xlfn.XLOOKUP(BinEksp[[#This Row],[Dataset (.h5)]],Datasett[Datasett (.h5)],Datasett[2 MCD]," ")/BinEksp[[#This Row],[Number of samples]]," ")</f>
        <v>4.8623853211009177E-2</v>
      </c>
      <c r="AD7" s="99">
        <f>IFERROR(_xlfn.XLOOKUP(BinEksp[[#This Row],[Dataset (.h5)]],Datasett[Datasett (.h5)],Datasett[3 artrose]," ")/BinEksp[[#This Row],[Number of samples]]," ")</f>
        <v>4.9541284403669728E-2</v>
      </c>
      <c r="AE7" s="99">
        <f>IFERROR(_xlfn.XLOOKUP(BinEksp[[#This Row],[Dataset (.h5)]],Datasett[Datasett (.h5)],Datasett[3 MCD]," ")/BinEksp[[#This Row],[Number of samples]]," ")</f>
        <v>7.5229357798165142E-2</v>
      </c>
      <c r="AF7" s="99">
        <f>IFERROR(_xlfn.XLOOKUP(BinEksp[[#This Row],[Dataset (.h5)]],Datasett[Datasett (.h5)],Datasett[3 OCD]," ")/BinEksp[[#This Row],[Number of samples]]," ")</f>
        <v>7.3394495412844041E-3</v>
      </c>
      <c r="AG7" s="99">
        <f>IFERROR(_xlfn.XLOOKUP(BinEksp[[#This Row],[Dataset (.h5)]],Datasett[Datasett (.h5)],Datasett[3 UAP]," ")/BinEksp[[#This Row],[Number of samples]]," ")</f>
        <v>1.1009174311926606E-2</v>
      </c>
      <c r="AH7" s="101">
        <f>SUM(BinEksp[[#This Row],[1 artrose/ sklerose]:[3 UAP]])</f>
        <v>0.54128440366972475</v>
      </c>
      <c r="AI7" s="115" t="str">
        <f>_xlfn.TEXTJOIN("_",TRUE,BinEksp[[#This Row],[Kompleksitet]],BinEksp[[#This Row],[Læringsrate]],IF(BinEksp[[#This Row],[Augmentering]]="ja","aug",""),IF(BinEksp[[#This Row],[Validering]]="ja","flip",""))</f>
        <v>B2_0.0001</v>
      </c>
      <c r="AJ7" s="99" t="s">
        <v>340</v>
      </c>
      <c r="AK7" s="99" t="str">
        <f>_xlfn.TEXTJOIN("_",TRUE,BinEksp[[#This Row],[Kompleksitet]],BinEksp[[#This Row],[Læringsrate]],IF(BinEksp[[#This Row],[Augmentering]]="ja","aug",""))</f>
        <v>B2_0.0001</v>
      </c>
      <c r="AL7" s="99" t="str">
        <f>_xlfn.TEXTJOIN("",TRUE,BinEksp[[#This Row],[Kompleksitet]],IF(BinEksp[[#This Row],[Augmentering]]="Ja","B","A"))</f>
        <v>B2A</v>
      </c>
    </row>
    <row r="8" spans="1:38" ht="45">
      <c r="A8" s="96">
        <v>11807908</v>
      </c>
      <c r="B8" s="97" t="s">
        <v>230</v>
      </c>
      <c r="C8" s="103"/>
      <c r="D8" s="96" t="s">
        <v>220</v>
      </c>
      <c r="E8" s="96" t="str">
        <f>_xlfn.TEXTJOIN("_",TRUE,BinEksp[[#This Row],[Kompleksitet]],BinEksp[[#This Row],[Dataset (.h5)]],_xlfn.TEXTJOIN("",TRUE,"bs",BinEksp[[#This Row],[Partistørrelse]]),BinEksp[[#This Row],[Læringsrate]],IF(BinEksp[[#This Row],[Augmentering]]="ja","aug",""),IF(BinEksp[[#This Row],[Validering]]="ja","flip",""))</f>
        <v>B2_800_normal_abnormal_2_bs25_0.001</v>
      </c>
      <c r="F8" s="96" t="s">
        <v>25</v>
      </c>
      <c r="G8" s="96">
        <v>1E-3</v>
      </c>
      <c r="H8" s="96" t="s">
        <v>208</v>
      </c>
      <c r="I8" s="96">
        <v>25</v>
      </c>
      <c r="J8" s="96" t="s">
        <v>208</v>
      </c>
      <c r="K8" s="96" t="s">
        <v>149</v>
      </c>
      <c r="L8" s="102">
        <v>6.2708333333333324E-2</v>
      </c>
      <c r="M8" s="96">
        <v>70</v>
      </c>
      <c r="N8" s="96">
        <v>52</v>
      </c>
      <c r="O8" s="100">
        <v>0.98838084999999998</v>
      </c>
      <c r="P8" s="100">
        <v>0.96323530000000002</v>
      </c>
      <c r="Q8" s="100">
        <v>0.92617613861762904</v>
      </c>
      <c r="R8" s="100">
        <v>0.965753424657534</v>
      </c>
      <c r="S8" s="100">
        <v>0.96031746031746001</v>
      </c>
      <c r="T8" s="100">
        <v>0.95850340000000001</v>
      </c>
      <c r="U8" s="100">
        <v>0.89705884000000002</v>
      </c>
      <c r="V8" s="100">
        <v>0.792600536158927</v>
      </c>
      <c r="W8" s="100">
        <v>0.90540540540540504</v>
      </c>
      <c r="X8" s="100">
        <v>0.88709677419354804</v>
      </c>
      <c r="Y8" s="98">
        <f>_xlfn.XLOOKUP(BinEksp[[#This Row],[Dataset (.h5)]],Datasett[Datasett (.h5)],Datasett[total]," ")</f>
        <v>1090</v>
      </c>
      <c r="Z8" s="99">
        <f>IFERROR(_xlfn.XLOOKUP(BinEksp[[#This Row],[Dataset (.h5)]],Datasett[Datasett (.h5)],Datasett[Normale]," ")/BinEksp[[#This Row],[Number of samples]]," ")</f>
        <v>0.45871559633027525</v>
      </c>
      <c r="AA8" s="99">
        <f>IFERROR(_xlfn.XLOOKUP(BinEksp[[#This Row],[Dataset (.h5)]],Datasett[Datasett (.h5)],Datasett[1 artrose/sklerose]," ")/BinEksp[[#This Row],[Number of samples]]," ")</f>
        <v>0.23577981651376148</v>
      </c>
      <c r="AB8" s="99">
        <f>IFERROR(_xlfn.XLOOKUP(BinEksp[[#This Row],[Dataset (.h5)]],Datasett[Datasett (.h5)],Datasett[2 artrose]," ")/BinEksp[[#This Row],[Number of samples]]," ")</f>
        <v>0.11376146788990826</v>
      </c>
      <c r="AC8" s="99">
        <f>IFERROR(_xlfn.XLOOKUP(BinEksp[[#This Row],[Dataset (.h5)]],Datasett[Datasett (.h5)],Datasett[2 MCD]," ")/BinEksp[[#This Row],[Number of samples]]," ")</f>
        <v>4.8623853211009177E-2</v>
      </c>
      <c r="AD8" s="99">
        <f>IFERROR(_xlfn.XLOOKUP(BinEksp[[#This Row],[Dataset (.h5)]],Datasett[Datasett (.h5)],Datasett[3 artrose]," ")/BinEksp[[#This Row],[Number of samples]]," ")</f>
        <v>4.9541284403669728E-2</v>
      </c>
      <c r="AE8" s="99">
        <f>IFERROR(_xlfn.XLOOKUP(BinEksp[[#This Row],[Dataset (.h5)]],Datasett[Datasett (.h5)],Datasett[3 MCD]," ")/BinEksp[[#This Row],[Number of samples]]," ")</f>
        <v>7.5229357798165142E-2</v>
      </c>
      <c r="AF8" s="99">
        <f>IFERROR(_xlfn.XLOOKUP(BinEksp[[#This Row],[Dataset (.h5)]],Datasett[Datasett (.h5)],Datasett[3 OCD]," ")/BinEksp[[#This Row],[Number of samples]]," ")</f>
        <v>7.3394495412844041E-3</v>
      </c>
      <c r="AG8" s="99">
        <f>IFERROR(_xlfn.XLOOKUP(BinEksp[[#This Row],[Dataset (.h5)]],Datasett[Datasett (.h5)],Datasett[3 UAP]," ")/BinEksp[[#This Row],[Number of samples]]," ")</f>
        <v>1.1009174311926606E-2</v>
      </c>
      <c r="AH8" s="101">
        <f>SUM(BinEksp[[#This Row],[1 artrose/ sklerose]:[3 UAP]])</f>
        <v>0.54128440366972475</v>
      </c>
      <c r="AI8" s="115" t="str">
        <f>_xlfn.TEXTJOIN("_",TRUE,BinEksp[[#This Row],[Kompleksitet]],BinEksp[[#This Row],[Læringsrate]],IF(BinEksp[[#This Row],[Augmentering]]="ja","aug",""),IF(BinEksp[[#This Row],[Validering]]="ja","flip",""))</f>
        <v>B2_0.001</v>
      </c>
      <c r="AJ8" s="99" t="s">
        <v>340</v>
      </c>
      <c r="AK8" s="99" t="str">
        <f>_xlfn.TEXTJOIN("_",TRUE,BinEksp[[#This Row],[Kompleksitet]],BinEksp[[#This Row],[Læringsrate]],IF(BinEksp[[#This Row],[Augmentering]]="ja","aug",""))</f>
        <v>B2_0.001</v>
      </c>
      <c r="AL8" s="99" t="str">
        <f>_xlfn.TEXTJOIN("",TRUE,BinEksp[[#This Row],[Kompleksitet]],IF(BinEksp[[#This Row],[Augmentering]]="Ja","B","A"))</f>
        <v>B2A</v>
      </c>
    </row>
    <row r="9" spans="1:38" ht="45">
      <c r="A9" s="96">
        <v>11807909</v>
      </c>
      <c r="B9" s="97" t="s">
        <v>237</v>
      </c>
      <c r="C9" s="103"/>
      <c r="D9" s="96" t="s">
        <v>220</v>
      </c>
      <c r="E9" s="96" t="str">
        <f>_xlfn.TEXTJOIN("_",TRUE,BinEksp[[#This Row],[Kompleksitet]],BinEksp[[#This Row],[Dataset (.h5)]],_xlfn.TEXTJOIN("",TRUE,"bs",BinEksp[[#This Row],[Partistørrelse]]),BinEksp[[#This Row],[Læringsrate]],IF(BinEksp[[#This Row],[Augmentering]]="ja","aug",""),IF(BinEksp[[#This Row],[Validering]]="ja","flip",""))</f>
        <v>B3_800_normal_abnormal_2_bs16_0.0005</v>
      </c>
      <c r="F9" s="96" t="s">
        <v>30</v>
      </c>
      <c r="G9" s="96">
        <v>5.0000000000000001E-4</v>
      </c>
      <c r="H9" s="96" t="s">
        <v>208</v>
      </c>
      <c r="I9" s="96">
        <v>16</v>
      </c>
      <c r="J9" s="96" t="s">
        <v>208</v>
      </c>
      <c r="K9" s="96" t="s">
        <v>149</v>
      </c>
      <c r="L9" s="102">
        <v>5.9444444444444446E-2</v>
      </c>
      <c r="M9" s="96">
        <v>71</v>
      </c>
      <c r="N9" s="96">
        <v>70</v>
      </c>
      <c r="O9" s="100">
        <v>0.97398614999999999</v>
      </c>
      <c r="P9" s="100">
        <v>0.95588240000000002</v>
      </c>
      <c r="Q9" s="100">
        <v>0.91138950307709998</v>
      </c>
      <c r="R9" s="100">
        <v>0.95890410958904104</v>
      </c>
      <c r="S9" s="100">
        <v>0.952380952380952</v>
      </c>
      <c r="T9" s="100">
        <v>0.94786393999999996</v>
      </c>
      <c r="U9" s="100">
        <v>0.91911759999999998</v>
      </c>
      <c r="V9" s="100">
        <v>0.83792458269051495</v>
      </c>
      <c r="W9" s="100">
        <v>0.92413793103448205</v>
      </c>
      <c r="X9" s="100">
        <v>0.91338582677165303</v>
      </c>
      <c r="Y9" s="98">
        <f>_xlfn.XLOOKUP(BinEksp[[#This Row],[Dataset (.h5)]],Datasett[Datasett (.h5)],Datasett[total]," ")</f>
        <v>1090</v>
      </c>
      <c r="Z9" s="99">
        <f>IFERROR(_xlfn.XLOOKUP(BinEksp[[#This Row],[Dataset (.h5)]],Datasett[Datasett (.h5)],Datasett[Normale]," ")/BinEksp[[#This Row],[Number of samples]]," ")</f>
        <v>0.45871559633027525</v>
      </c>
      <c r="AA9" s="99">
        <f>IFERROR(_xlfn.XLOOKUP(BinEksp[[#This Row],[Dataset (.h5)]],Datasett[Datasett (.h5)],Datasett[1 artrose/sklerose]," ")/BinEksp[[#This Row],[Number of samples]]," ")</f>
        <v>0.23577981651376148</v>
      </c>
      <c r="AB9" s="99">
        <f>IFERROR(_xlfn.XLOOKUP(BinEksp[[#This Row],[Dataset (.h5)]],Datasett[Datasett (.h5)],Datasett[2 artrose]," ")/BinEksp[[#This Row],[Number of samples]]," ")</f>
        <v>0.11376146788990826</v>
      </c>
      <c r="AC9" s="99">
        <f>IFERROR(_xlfn.XLOOKUP(BinEksp[[#This Row],[Dataset (.h5)]],Datasett[Datasett (.h5)],Datasett[2 MCD]," ")/BinEksp[[#This Row],[Number of samples]]," ")</f>
        <v>4.8623853211009177E-2</v>
      </c>
      <c r="AD9" s="99">
        <f>IFERROR(_xlfn.XLOOKUP(BinEksp[[#This Row],[Dataset (.h5)]],Datasett[Datasett (.h5)],Datasett[3 artrose]," ")/BinEksp[[#This Row],[Number of samples]]," ")</f>
        <v>4.9541284403669728E-2</v>
      </c>
      <c r="AE9" s="99">
        <f>IFERROR(_xlfn.XLOOKUP(BinEksp[[#This Row],[Dataset (.h5)]],Datasett[Datasett (.h5)],Datasett[3 MCD]," ")/BinEksp[[#This Row],[Number of samples]]," ")</f>
        <v>7.5229357798165142E-2</v>
      </c>
      <c r="AF9" s="99">
        <f>IFERROR(_xlfn.XLOOKUP(BinEksp[[#This Row],[Dataset (.h5)]],Datasett[Datasett (.h5)],Datasett[3 OCD]," ")/BinEksp[[#This Row],[Number of samples]]," ")</f>
        <v>7.3394495412844041E-3</v>
      </c>
      <c r="AG9" s="99">
        <f>IFERROR(_xlfn.XLOOKUP(BinEksp[[#This Row],[Dataset (.h5)]],Datasett[Datasett (.h5)],Datasett[3 UAP]," ")/BinEksp[[#This Row],[Number of samples]]," ")</f>
        <v>1.1009174311926606E-2</v>
      </c>
      <c r="AH9" s="101">
        <f>SUM(BinEksp[[#This Row],[1 artrose/ sklerose]:[3 UAP]])</f>
        <v>0.54128440366972475</v>
      </c>
      <c r="AI9" s="115" t="str">
        <f>_xlfn.TEXTJOIN("_",TRUE,BinEksp[[#This Row],[Kompleksitet]],BinEksp[[#This Row],[Læringsrate]],IF(BinEksp[[#This Row],[Augmentering]]="ja","aug",""),IF(BinEksp[[#This Row],[Validering]]="ja","flip",""))</f>
        <v>B3_0.0005</v>
      </c>
      <c r="AJ9" s="99" t="s">
        <v>340</v>
      </c>
      <c r="AK9" s="99" t="str">
        <f>_xlfn.TEXTJOIN("_",TRUE,BinEksp[[#This Row],[Kompleksitet]],BinEksp[[#This Row],[Læringsrate]],IF(BinEksp[[#This Row],[Augmentering]]="ja","aug",""))</f>
        <v>B3_0.0005</v>
      </c>
      <c r="AL9" s="99" t="str">
        <f>_xlfn.TEXTJOIN("",TRUE,BinEksp[[#This Row],[Kompleksitet]],IF(BinEksp[[#This Row],[Augmentering]]="Ja","B","A"))</f>
        <v>B3A</v>
      </c>
    </row>
    <row r="10" spans="1:38" ht="60">
      <c r="A10" s="96">
        <v>11809666</v>
      </c>
      <c r="B10" s="97" t="s">
        <v>236</v>
      </c>
      <c r="C10" s="103"/>
      <c r="D10" s="96" t="s">
        <v>220</v>
      </c>
      <c r="E10" s="96" t="str">
        <f>_xlfn.TEXTJOIN("_",TRUE,BinEksp[[#This Row],[Kompleksitet]],BinEksp[[#This Row],[Dataset (.h5)]],_xlfn.TEXTJOIN("",TRUE,"bs",BinEksp[[#This Row],[Partistørrelse]]),BinEksp[[#This Row],[Læringsrate]],IF(BinEksp[[#This Row],[Augmentering]]="ja","aug",""),IF(BinEksp[[#This Row],[Validering]]="ja","flip",""))</f>
        <v>B3_800_normal_abnormal_2_bs16_0.0001</v>
      </c>
      <c r="F10" s="96" t="s">
        <v>30</v>
      </c>
      <c r="G10" s="96">
        <v>1E-4</v>
      </c>
      <c r="H10" s="96" t="s">
        <v>208</v>
      </c>
      <c r="I10" s="96">
        <v>16</v>
      </c>
      <c r="J10" s="96" t="s">
        <v>208</v>
      </c>
      <c r="K10" s="96" t="s">
        <v>149</v>
      </c>
      <c r="L10" s="102">
        <v>0.10166666666666667</v>
      </c>
      <c r="M10" s="96">
        <v>100</v>
      </c>
      <c r="N10" s="96">
        <v>94</v>
      </c>
      <c r="O10" s="100">
        <v>0.95170069999999996</v>
      </c>
      <c r="P10" s="100">
        <v>0.90441179999999999</v>
      </c>
      <c r="Q10" s="100">
        <v>0.81090746826716498</v>
      </c>
      <c r="R10" s="100">
        <v>0.90845070422535201</v>
      </c>
      <c r="S10" s="100">
        <v>0.9</v>
      </c>
      <c r="T10" s="100">
        <v>0.91874825999999998</v>
      </c>
      <c r="U10" s="100">
        <v>0.86397060000000003</v>
      </c>
      <c r="V10" s="100">
        <v>0.73033400242768398</v>
      </c>
      <c r="W10" s="100">
        <v>0.86925795053003496</v>
      </c>
      <c r="X10" s="100">
        <v>0.85823754789272</v>
      </c>
      <c r="Y10" s="98">
        <f>_xlfn.XLOOKUP(BinEksp[[#This Row],[Dataset (.h5)]],Datasett[Datasett (.h5)],Datasett[total]," ")</f>
        <v>1090</v>
      </c>
      <c r="Z10" s="99">
        <f>IFERROR(_xlfn.XLOOKUP(BinEksp[[#This Row],[Dataset (.h5)]],Datasett[Datasett (.h5)],Datasett[Normale]," ")/BinEksp[[#This Row],[Number of samples]]," ")</f>
        <v>0.45871559633027525</v>
      </c>
      <c r="AA10" s="99">
        <f>IFERROR(_xlfn.XLOOKUP(BinEksp[[#This Row],[Dataset (.h5)]],Datasett[Datasett (.h5)],Datasett[1 artrose/sklerose]," ")/BinEksp[[#This Row],[Number of samples]]," ")</f>
        <v>0.23577981651376148</v>
      </c>
      <c r="AB10" s="99">
        <f>IFERROR(_xlfn.XLOOKUP(BinEksp[[#This Row],[Dataset (.h5)]],Datasett[Datasett (.h5)],Datasett[2 artrose]," ")/BinEksp[[#This Row],[Number of samples]]," ")</f>
        <v>0.11376146788990826</v>
      </c>
      <c r="AC10" s="99">
        <f>IFERROR(_xlfn.XLOOKUP(BinEksp[[#This Row],[Dataset (.h5)]],Datasett[Datasett (.h5)],Datasett[2 MCD]," ")/BinEksp[[#This Row],[Number of samples]]," ")</f>
        <v>4.8623853211009177E-2</v>
      </c>
      <c r="AD10" s="99">
        <f>IFERROR(_xlfn.XLOOKUP(BinEksp[[#This Row],[Dataset (.h5)]],Datasett[Datasett (.h5)],Datasett[3 artrose]," ")/BinEksp[[#This Row],[Number of samples]]," ")</f>
        <v>4.9541284403669728E-2</v>
      </c>
      <c r="AE10" s="99">
        <f>IFERROR(_xlfn.XLOOKUP(BinEksp[[#This Row],[Dataset (.h5)]],Datasett[Datasett (.h5)],Datasett[3 MCD]," ")/BinEksp[[#This Row],[Number of samples]]," ")</f>
        <v>7.5229357798165142E-2</v>
      </c>
      <c r="AF10" s="99">
        <f>IFERROR(_xlfn.XLOOKUP(BinEksp[[#This Row],[Dataset (.h5)]],Datasett[Datasett (.h5)],Datasett[3 OCD]," ")/BinEksp[[#This Row],[Number of samples]]," ")</f>
        <v>7.3394495412844041E-3</v>
      </c>
      <c r="AG10" s="99">
        <f>IFERROR(_xlfn.XLOOKUP(BinEksp[[#This Row],[Dataset (.h5)]],Datasett[Datasett (.h5)],Datasett[3 UAP]," ")/BinEksp[[#This Row],[Number of samples]]," ")</f>
        <v>1.1009174311926606E-2</v>
      </c>
      <c r="AH10" s="101">
        <f>SUM(BinEksp[[#This Row],[1 artrose/ sklerose]:[3 UAP]])</f>
        <v>0.54128440366972475</v>
      </c>
      <c r="AI10" s="115" t="str">
        <f>_xlfn.TEXTJOIN("_",TRUE,BinEksp[[#This Row],[Kompleksitet]],BinEksp[[#This Row],[Læringsrate]],IF(BinEksp[[#This Row],[Augmentering]]="ja","aug",""),IF(BinEksp[[#This Row],[Validering]]="ja","flip",""))</f>
        <v>B3_0.0001</v>
      </c>
      <c r="AJ10" s="99" t="s">
        <v>340</v>
      </c>
      <c r="AK10" s="99" t="str">
        <f>_xlfn.TEXTJOIN("_",TRUE,BinEksp[[#This Row],[Kompleksitet]],BinEksp[[#This Row],[Læringsrate]],IF(BinEksp[[#This Row],[Augmentering]]="ja","aug",""))</f>
        <v>B3_0.0001</v>
      </c>
      <c r="AL10" s="99" t="str">
        <f>_xlfn.TEXTJOIN("",TRUE,BinEksp[[#This Row],[Kompleksitet]],IF(BinEksp[[#This Row],[Augmentering]]="Ja","B","A"))</f>
        <v>B3A</v>
      </c>
    </row>
    <row r="11" spans="1:38" ht="60">
      <c r="A11" s="96">
        <v>11809667</v>
      </c>
      <c r="B11" s="97" t="s">
        <v>234</v>
      </c>
      <c r="C11" s="103"/>
      <c r="D11" s="96" t="s">
        <v>220</v>
      </c>
      <c r="E11" s="96" t="str">
        <f>_xlfn.TEXTJOIN("_",TRUE,BinEksp[[#This Row],[Kompleksitet]],BinEksp[[#This Row],[Dataset (.h5)]],_xlfn.TEXTJOIN("",TRUE,"bs",BinEksp[[#This Row],[Partistørrelse]]),BinEksp[[#This Row],[Læringsrate]],IF(BinEksp[[#This Row],[Augmentering]]="ja","aug",""),IF(BinEksp[[#This Row],[Validering]]="ja","flip",""))</f>
        <v>B3_800_normal_abnormal_2_bs16_0.001</v>
      </c>
      <c r="F11" s="96" t="s">
        <v>30</v>
      </c>
      <c r="G11" s="96">
        <v>1E-3</v>
      </c>
      <c r="H11" s="96" t="s">
        <v>208</v>
      </c>
      <c r="I11" s="96">
        <v>16</v>
      </c>
      <c r="J11" s="96" t="s">
        <v>208</v>
      </c>
      <c r="K11" s="96" t="s">
        <v>149</v>
      </c>
      <c r="L11" s="102">
        <v>0.10489583333333334</v>
      </c>
      <c r="M11" s="96">
        <v>100</v>
      </c>
      <c r="N11" s="96">
        <v>72</v>
      </c>
      <c r="O11" s="100">
        <v>0.97937410000000003</v>
      </c>
      <c r="P11" s="100">
        <v>0.95220590000000005</v>
      </c>
      <c r="Q11" s="100">
        <v>0.90628931718101802</v>
      </c>
      <c r="R11" s="100">
        <v>0.95438596491228</v>
      </c>
      <c r="S11" s="100">
        <v>0.94980694980694902</v>
      </c>
      <c r="T11" s="100">
        <v>0.93695240000000002</v>
      </c>
      <c r="U11" s="100">
        <v>0.88602939999999997</v>
      </c>
      <c r="V11" s="100">
        <v>0.77044151573925401</v>
      </c>
      <c r="W11" s="100">
        <v>0.89491525423728802</v>
      </c>
      <c r="X11" s="100">
        <v>0.87550200803212797</v>
      </c>
      <c r="Y11" s="98">
        <f>_xlfn.XLOOKUP(BinEksp[[#This Row],[Dataset (.h5)]],Datasett[Datasett (.h5)],Datasett[total]," ")</f>
        <v>1090</v>
      </c>
      <c r="Z11" s="99">
        <f>IFERROR(_xlfn.XLOOKUP(BinEksp[[#This Row],[Dataset (.h5)]],Datasett[Datasett (.h5)],Datasett[Normale]," ")/BinEksp[[#This Row],[Number of samples]]," ")</f>
        <v>0.45871559633027525</v>
      </c>
      <c r="AA11" s="99">
        <f>IFERROR(_xlfn.XLOOKUP(BinEksp[[#This Row],[Dataset (.h5)]],Datasett[Datasett (.h5)],Datasett[1 artrose/sklerose]," ")/BinEksp[[#This Row],[Number of samples]]," ")</f>
        <v>0.23577981651376148</v>
      </c>
      <c r="AB11" s="99">
        <f>IFERROR(_xlfn.XLOOKUP(BinEksp[[#This Row],[Dataset (.h5)]],Datasett[Datasett (.h5)],Datasett[2 artrose]," ")/BinEksp[[#This Row],[Number of samples]]," ")</f>
        <v>0.11376146788990826</v>
      </c>
      <c r="AC11" s="99">
        <f>IFERROR(_xlfn.XLOOKUP(BinEksp[[#This Row],[Dataset (.h5)]],Datasett[Datasett (.h5)],Datasett[2 MCD]," ")/BinEksp[[#This Row],[Number of samples]]," ")</f>
        <v>4.8623853211009177E-2</v>
      </c>
      <c r="AD11" s="99">
        <f>IFERROR(_xlfn.XLOOKUP(BinEksp[[#This Row],[Dataset (.h5)]],Datasett[Datasett (.h5)],Datasett[3 artrose]," ")/BinEksp[[#This Row],[Number of samples]]," ")</f>
        <v>4.9541284403669728E-2</v>
      </c>
      <c r="AE11" s="99">
        <f>IFERROR(_xlfn.XLOOKUP(BinEksp[[#This Row],[Dataset (.h5)]],Datasett[Datasett (.h5)],Datasett[3 MCD]," ")/BinEksp[[#This Row],[Number of samples]]," ")</f>
        <v>7.5229357798165142E-2</v>
      </c>
      <c r="AF11" s="99">
        <f>IFERROR(_xlfn.XLOOKUP(BinEksp[[#This Row],[Dataset (.h5)]],Datasett[Datasett (.h5)],Datasett[3 OCD]," ")/BinEksp[[#This Row],[Number of samples]]," ")</f>
        <v>7.3394495412844041E-3</v>
      </c>
      <c r="AG11" s="99">
        <f>IFERROR(_xlfn.XLOOKUP(BinEksp[[#This Row],[Dataset (.h5)]],Datasett[Datasett (.h5)],Datasett[3 UAP]," ")/BinEksp[[#This Row],[Number of samples]]," ")</f>
        <v>1.1009174311926606E-2</v>
      </c>
      <c r="AH11" s="101">
        <f>SUM(BinEksp[[#This Row],[1 artrose/ sklerose]:[3 UAP]])</f>
        <v>0.54128440366972475</v>
      </c>
      <c r="AI11" s="115" t="str">
        <f>_xlfn.TEXTJOIN("_",TRUE,BinEksp[[#This Row],[Kompleksitet]],BinEksp[[#This Row],[Læringsrate]],IF(BinEksp[[#This Row],[Augmentering]]="ja","aug",""),IF(BinEksp[[#This Row],[Validering]]="ja","flip",""))</f>
        <v>B3_0.001</v>
      </c>
      <c r="AJ11" s="99" t="s">
        <v>340</v>
      </c>
      <c r="AK11" s="99" t="str">
        <f>_xlfn.TEXTJOIN("_",TRUE,BinEksp[[#This Row],[Kompleksitet]],BinEksp[[#This Row],[Læringsrate]],IF(BinEksp[[#This Row],[Augmentering]]="ja","aug",""))</f>
        <v>B3_0.001</v>
      </c>
      <c r="AL11" s="99" t="str">
        <f>_xlfn.TEXTJOIN("",TRUE,BinEksp[[#This Row],[Kompleksitet]],IF(BinEksp[[#This Row],[Augmentering]]="Ja","B","A"))</f>
        <v>B3A</v>
      </c>
    </row>
    <row r="12" spans="1:38" ht="60">
      <c r="A12" s="96">
        <v>11810110</v>
      </c>
      <c r="B12" s="97" t="s">
        <v>233</v>
      </c>
      <c r="C12" s="103"/>
      <c r="D12" s="96" t="s">
        <v>220</v>
      </c>
      <c r="E12" s="96" t="str">
        <f>_xlfn.TEXTJOIN("_",TRUE,BinEksp[[#This Row],[Kompleksitet]],BinEksp[[#This Row],[Dataset (.h5)]],_xlfn.TEXTJOIN("",TRUE,"bs",BinEksp[[#This Row],[Partistørrelse]]),BinEksp[[#This Row],[Læringsrate]],IF(BinEksp[[#This Row],[Augmentering]]="ja","aug",""),IF(BinEksp[[#This Row],[Validering]]="ja","flip",""))</f>
        <v>B3_800_normal_abnormal_2_bs16_0.00005</v>
      </c>
      <c r="F12" s="96" t="s">
        <v>30</v>
      </c>
      <c r="G12" s="96">
        <v>5.0000000000000002E-5</v>
      </c>
      <c r="H12" s="96" t="s">
        <v>208</v>
      </c>
      <c r="I12" s="96">
        <v>16</v>
      </c>
      <c r="J12" s="96" t="s">
        <v>208</v>
      </c>
      <c r="K12" s="96" t="s">
        <v>149</v>
      </c>
      <c r="L12" s="102">
        <v>0.10122685185185186</v>
      </c>
      <c r="M12" s="96">
        <v>100</v>
      </c>
      <c r="N12" s="96">
        <v>98</v>
      </c>
      <c r="O12" s="100">
        <v>0.91374146999999994</v>
      </c>
      <c r="P12" s="100">
        <v>0.83088240000000002</v>
      </c>
      <c r="Q12" s="100">
        <v>0.66409638769952595</v>
      </c>
      <c r="R12" s="100">
        <v>0.854430379746835</v>
      </c>
      <c r="S12" s="100">
        <v>0.79824561403508698</v>
      </c>
      <c r="T12" s="100">
        <v>0.89167344999999998</v>
      </c>
      <c r="U12" s="100">
        <v>0.80147060000000003</v>
      </c>
      <c r="V12" s="100">
        <v>0.60439699595016205</v>
      </c>
      <c r="W12" s="100">
        <v>0.83018867924528295</v>
      </c>
      <c r="X12" s="100">
        <v>0.76106194690265405</v>
      </c>
      <c r="Y12" s="98">
        <f>_xlfn.XLOOKUP(BinEksp[[#This Row],[Dataset (.h5)]],Datasett[Datasett (.h5)],Datasett[total]," ")</f>
        <v>1090</v>
      </c>
      <c r="Z12" s="99">
        <f>IFERROR(_xlfn.XLOOKUP(BinEksp[[#This Row],[Dataset (.h5)]],Datasett[Datasett (.h5)],Datasett[Normale]," ")/BinEksp[[#This Row],[Number of samples]]," ")</f>
        <v>0.45871559633027525</v>
      </c>
      <c r="AA12" s="99">
        <f>IFERROR(_xlfn.XLOOKUP(BinEksp[[#This Row],[Dataset (.h5)]],Datasett[Datasett (.h5)],Datasett[1 artrose/sklerose]," ")/BinEksp[[#This Row],[Number of samples]]," ")</f>
        <v>0.23577981651376148</v>
      </c>
      <c r="AB12" s="99">
        <f>IFERROR(_xlfn.XLOOKUP(BinEksp[[#This Row],[Dataset (.h5)]],Datasett[Datasett (.h5)],Datasett[2 artrose]," ")/BinEksp[[#This Row],[Number of samples]]," ")</f>
        <v>0.11376146788990826</v>
      </c>
      <c r="AC12" s="99">
        <f>IFERROR(_xlfn.XLOOKUP(BinEksp[[#This Row],[Dataset (.h5)]],Datasett[Datasett (.h5)],Datasett[2 MCD]," ")/BinEksp[[#This Row],[Number of samples]]," ")</f>
        <v>4.8623853211009177E-2</v>
      </c>
      <c r="AD12" s="99">
        <f>IFERROR(_xlfn.XLOOKUP(BinEksp[[#This Row],[Dataset (.h5)]],Datasett[Datasett (.h5)],Datasett[3 artrose]," ")/BinEksp[[#This Row],[Number of samples]]," ")</f>
        <v>4.9541284403669728E-2</v>
      </c>
      <c r="AE12" s="99">
        <f>IFERROR(_xlfn.XLOOKUP(BinEksp[[#This Row],[Dataset (.h5)]],Datasett[Datasett (.h5)],Datasett[3 MCD]," ")/BinEksp[[#This Row],[Number of samples]]," ")</f>
        <v>7.5229357798165142E-2</v>
      </c>
      <c r="AF12" s="99">
        <f>IFERROR(_xlfn.XLOOKUP(BinEksp[[#This Row],[Dataset (.h5)]],Datasett[Datasett (.h5)],Datasett[3 OCD]," ")/BinEksp[[#This Row],[Number of samples]]," ")</f>
        <v>7.3394495412844041E-3</v>
      </c>
      <c r="AG12" s="99">
        <f>IFERROR(_xlfn.XLOOKUP(BinEksp[[#This Row],[Dataset (.h5)]],Datasett[Datasett (.h5)],Datasett[3 UAP]," ")/BinEksp[[#This Row],[Number of samples]]," ")</f>
        <v>1.1009174311926606E-2</v>
      </c>
      <c r="AH12" s="101">
        <f>SUM(BinEksp[[#This Row],[1 artrose/ sklerose]:[3 UAP]])</f>
        <v>0.54128440366972475</v>
      </c>
      <c r="AI12" s="115" t="str">
        <f>_xlfn.TEXTJOIN("_",TRUE,BinEksp[[#This Row],[Kompleksitet]],BinEksp[[#This Row],[Læringsrate]],IF(BinEksp[[#This Row],[Augmentering]]="ja","aug",""),IF(BinEksp[[#This Row],[Validering]]="ja","flip",""))</f>
        <v>B3_0.00005</v>
      </c>
      <c r="AJ12" s="99" t="s">
        <v>340</v>
      </c>
      <c r="AK12" s="99" t="str">
        <f>_xlfn.TEXTJOIN("_",TRUE,BinEksp[[#This Row],[Kompleksitet]],BinEksp[[#This Row],[Læringsrate]],IF(BinEksp[[#This Row],[Augmentering]]="ja","aug",""))</f>
        <v>B3_0.00005</v>
      </c>
      <c r="AL12" s="99" t="str">
        <f>_xlfn.TEXTJOIN("",TRUE,BinEksp[[#This Row],[Kompleksitet]],IF(BinEksp[[#This Row],[Augmentering]]="Ja","B","A"))</f>
        <v>B3A</v>
      </c>
    </row>
    <row r="13" spans="1:38" ht="60">
      <c r="A13" s="96">
        <v>11810111</v>
      </c>
      <c r="B13" s="97" t="s">
        <v>232</v>
      </c>
      <c r="C13" s="103"/>
      <c r="D13" s="96" t="s">
        <v>220</v>
      </c>
      <c r="E13" s="96" t="str">
        <f>_xlfn.TEXTJOIN("_",TRUE,BinEksp[[#This Row],[Kompleksitet]],BinEksp[[#This Row],[Dataset (.h5)]],_xlfn.TEXTJOIN("",TRUE,"bs",BinEksp[[#This Row],[Partistørrelse]]),BinEksp[[#This Row],[Læringsrate]],IF(BinEksp[[#This Row],[Augmentering]]="ja","aug",""),IF(BinEksp[[#This Row],[Validering]]="ja","flip",""))</f>
        <v>B3_800_normal_abnormal_2_bs16_0.005</v>
      </c>
      <c r="F13" s="96" t="s">
        <v>30</v>
      </c>
      <c r="G13" s="96">
        <v>5.0000000000000001E-3</v>
      </c>
      <c r="H13" s="96" t="s">
        <v>208</v>
      </c>
      <c r="I13" s="96">
        <v>16</v>
      </c>
      <c r="J13" s="96" t="s">
        <v>208</v>
      </c>
      <c r="K13" s="96" t="s">
        <v>149</v>
      </c>
      <c r="L13" s="102">
        <v>0.10047453703703703</v>
      </c>
      <c r="M13" s="96">
        <v>100</v>
      </c>
      <c r="N13" s="96">
        <v>70</v>
      </c>
      <c r="O13" s="100">
        <v>0.68321085000000004</v>
      </c>
      <c r="P13" s="100">
        <v>0.64705884000000002</v>
      </c>
      <c r="Q13" s="100">
        <v>0.30764088013901297</v>
      </c>
      <c r="R13" s="100">
        <v>0.63909774436090205</v>
      </c>
      <c r="S13" s="100">
        <v>0.65467625899280502</v>
      </c>
      <c r="T13" s="100">
        <v>0.68029934000000003</v>
      </c>
      <c r="U13" s="100">
        <v>0.63235295000000002</v>
      </c>
      <c r="V13" s="100">
        <v>0.298928487266513</v>
      </c>
      <c r="W13" s="100">
        <v>0.59349593495934905</v>
      </c>
      <c r="X13" s="100">
        <v>0.66442953020134199</v>
      </c>
      <c r="Y13" s="98">
        <f>_xlfn.XLOOKUP(BinEksp[[#This Row],[Dataset (.h5)]],Datasett[Datasett (.h5)],Datasett[total]," ")</f>
        <v>1090</v>
      </c>
      <c r="Z13" s="99">
        <f>IFERROR(_xlfn.XLOOKUP(BinEksp[[#This Row],[Dataset (.h5)]],Datasett[Datasett (.h5)],Datasett[Normale]," ")/BinEksp[[#This Row],[Number of samples]]," ")</f>
        <v>0.45871559633027525</v>
      </c>
      <c r="AA13" s="99">
        <f>IFERROR(_xlfn.XLOOKUP(BinEksp[[#This Row],[Dataset (.h5)]],Datasett[Datasett (.h5)],Datasett[1 artrose/sklerose]," ")/BinEksp[[#This Row],[Number of samples]]," ")</f>
        <v>0.23577981651376148</v>
      </c>
      <c r="AB13" s="99">
        <f>IFERROR(_xlfn.XLOOKUP(BinEksp[[#This Row],[Dataset (.h5)]],Datasett[Datasett (.h5)],Datasett[2 artrose]," ")/BinEksp[[#This Row],[Number of samples]]," ")</f>
        <v>0.11376146788990826</v>
      </c>
      <c r="AC13" s="99">
        <f>IFERROR(_xlfn.XLOOKUP(BinEksp[[#This Row],[Dataset (.h5)]],Datasett[Datasett (.h5)],Datasett[2 MCD]," ")/BinEksp[[#This Row],[Number of samples]]," ")</f>
        <v>4.8623853211009177E-2</v>
      </c>
      <c r="AD13" s="99">
        <f>IFERROR(_xlfn.XLOOKUP(BinEksp[[#This Row],[Dataset (.h5)]],Datasett[Datasett (.h5)],Datasett[3 artrose]," ")/BinEksp[[#This Row],[Number of samples]]," ")</f>
        <v>4.9541284403669728E-2</v>
      </c>
      <c r="AE13" s="99">
        <f>IFERROR(_xlfn.XLOOKUP(BinEksp[[#This Row],[Dataset (.h5)]],Datasett[Datasett (.h5)],Datasett[3 MCD]," ")/BinEksp[[#This Row],[Number of samples]]," ")</f>
        <v>7.5229357798165142E-2</v>
      </c>
      <c r="AF13" s="99">
        <f>IFERROR(_xlfn.XLOOKUP(BinEksp[[#This Row],[Dataset (.h5)]],Datasett[Datasett (.h5)],Datasett[3 OCD]," ")/BinEksp[[#This Row],[Number of samples]]," ")</f>
        <v>7.3394495412844041E-3</v>
      </c>
      <c r="AG13" s="99">
        <f>IFERROR(_xlfn.XLOOKUP(BinEksp[[#This Row],[Dataset (.h5)]],Datasett[Datasett (.h5)],Datasett[3 UAP]," ")/BinEksp[[#This Row],[Number of samples]]," ")</f>
        <v>1.1009174311926606E-2</v>
      </c>
      <c r="AH13" s="101">
        <f>SUM(BinEksp[[#This Row],[1 artrose/ sklerose]:[3 UAP]])</f>
        <v>0.54128440366972475</v>
      </c>
      <c r="AI13" s="115" t="str">
        <f>_xlfn.TEXTJOIN("_",TRUE,BinEksp[[#This Row],[Kompleksitet]],BinEksp[[#This Row],[Læringsrate]],IF(BinEksp[[#This Row],[Augmentering]]="ja","aug",""),IF(BinEksp[[#This Row],[Validering]]="ja","flip",""))</f>
        <v>B3_0.005</v>
      </c>
      <c r="AJ13" s="99" t="s">
        <v>340</v>
      </c>
      <c r="AK13" s="99" t="str">
        <f>_xlfn.TEXTJOIN("_",TRUE,BinEksp[[#This Row],[Kompleksitet]],BinEksp[[#This Row],[Læringsrate]],IF(BinEksp[[#This Row],[Augmentering]]="ja","aug",""))</f>
        <v>B3_0.005</v>
      </c>
      <c r="AL13" s="99" t="str">
        <f>_xlfn.TEXTJOIN("",TRUE,BinEksp[[#This Row],[Kompleksitet]],IF(BinEksp[[#This Row],[Augmentering]]="Ja","B","A"))</f>
        <v>B3A</v>
      </c>
    </row>
    <row r="14" spans="1:38" ht="60">
      <c r="A14" s="96">
        <v>11810679</v>
      </c>
      <c r="B14" s="97" t="s">
        <v>235</v>
      </c>
      <c r="C14" s="103"/>
      <c r="D14" s="96" t="s">
        <v>220</v>
      </c>
      <c r="E14" s="96" t="str">
        <f>_xlfn.TEXTJOIN("_",TRUE,BinEksp[[#This Row],[Kompleksitet]],BinEksp[[#This Row],[Dataset (.h5)]],_xlfn.TEXTJOIN("",TRUE,"bs",BinEksp[[#This Row],[Partistørrelse]]),BinEksp[[#This Row],[Læringsrate]],IF(BinEksp[[#This Row],[Augmentering]]="ja","aug",""),IF(BinEksp[[#This Row],[Validering]]="ja","flip",""))</f>
        <v>B3_800_normal_abnormal_2_bs16_0.0005_flip</v>
      </c>
      <c r="F14" s="96" t="s">
        <v>30</v>
      </c>
      <c r="G14" s="96">
        <v>5.0000000000000001E-4</v>
      </c>
      <c r="H14" s="96" t="s">
        <v>208</v>
      </c>
      <c r="I14" s="96">
        <v>16</v>
      </c>
      <c r="J14" s="96" t="s">
        <v>209</v>
      </c>
      <c r="K14" s="96" t="s">
        <v>149</v>
      </c>
      <c r="L14" s="102">
        <v>0.10474537037037036</v>
      </c>
      <c r="M14" s="96">
        <v>100</v>
      </c>
      <c r="N14" s="96">
        <v>70</v>
      </c>
      <c r="O14" s="100">
        <v>0.9587755</v>
      </c>
      <c r="P14" s="100">
        <v>0.91544115999999998</v>
      </c>
      <c r="Q14" s="100">
        <v>0.82989325763553401</v>
      </c>
      <c r="R14" s="100">
        <v>0.92150170648464103</v>
      </c>
      <c r="S14" s="100">
        <v>0.90836653386454103</v>
      </c>
      <c r="T14" s="100">
        <v>0.96057139999999996</v>
      </c>
      <c r="U14" s="100">
        <v>0.93014704999999998</v>
      </c>
      <c r="V14" s="100">
        <v>0.861107822505492</v>
      </c>
      <c r="W14" s="100">
        <v>0.93379790940766505</v>
      </c>
      <c r="X14" s="100">
        <v>0.92607003891050499</v>
      </c>
      <c r="Y14" s="98">
        <f>_xlfn.XLOOKUP(BinEksp[[#This Row],[Dataset (.h5)]],Datasett[Datasett (.h5)],Datasett[total]," ")</f>
        <v>1090</v>
      </c>
      <c r="Z14" s="99">
        <f>IFERROR(_xlfn.XLOOKUP(BinEksp[[#This Row],[Dataset (.h5)]],Datasett[Datasett (.h5)],Datasett[Normale]," ")/BinEksp[[#This Row],[Number of samples]]," ")</f>
        <v>0.45871559633027525</v>
      </c>
      <c r="AA14" s="99">
        <f>IFERROR(_xlfn.XLOOKUP(BinEksp[[#This Row],[Dataset (.h5)]],Datasett[Datasett (.h5)],Datasett[1 artrose/sklerose]," ")/BinEksp[[#This Row],[Number of samples]]," ")</f>
        <v>0.23577981651376148</v>
      </c>
      <c r="AB14" s="99">
        <f>IFERROR(_xlfn.XLOOKUP(BinEksp[[#This Row],[Dataset (.h5)]],Datasett[Datasett (.h5)],Datasett[2 artrose]," ")/BinEksp[[#This Row],[Number of samples]]," ")</f>
        <v>0.11376146788990826</v>
      </c>
      <c r="AC14" s="99">
        <f>IFERROR(_xlfn.XLOOKUP(BinEksp[[#This Row],[Dataset (.h5)]],Datasett[Datasett (.h5)],Datasett[2 MCD]," ")/BinEksp[[#This Row],[Number of samples]]," ")</f>
        <v>4.8623853211009177E-2</v>
      </c>
      <c r="AD14" s="99">
        <f>IFERROR(_xlfn.XLOOKUP(BinEksp[[#This Row],[Dataset (.h5)]],Datasett[Datasett (.h5)],Datasett[3 artrose]," ")/BinEksp[[#This Row],[Number of samples]]," ")</f>
        <v>4.9541284403669728E-2</v>
      </c>
      <c r="AE14" s="99">
        <f>IFERROR(_xlfn.XLOOKUP(BinEksp[[#This Row],[Dataset (.h5)]],Datasett[Datasett (.h5)],Datasett[3 MCD]," ")/BinEksp[[#This Row],[Number of samples]]," ")</f>
        <v>7.5229357798165142E-2</v>
      </c>
      <c r="AF14" s="99">
        <f>IFERROR(_xlfn.XLOOKUP(BinEksp[[#This Row],[Dataset (.h5)]],Datasett[Datasett (.h5)],Datasett[3 OCD]," ")/BinEksp[[#This Row],[Number of samples]]," ")</f>
        <v>7.3394495412844041E-3</v>
      </c>
      <c r="AG14" s="99">
        <f>IFERROR(_xlfn.XLOOKUP(BinEksp[[#This Row],[Dataset (.h5)]],Datasett[Datasett (.h5)],Datasett[3 UAP]," ")/BinEksp[[#This Row],[Number of samples]]," ")</f>
        <v>1.1009174311926606E-2</v>
      </c>
      <c r="AH14" s="101">
        <f>SUM(BinEksp[[#This Row],[1 artrose/ sklerose]:[3 UAP]])</f>
        <v>0.54128440366972475</v>
      </c>
      <c r="AI14" s="115" t="str">
        <f>_xlfn.TEXTJOIN("_",TRUE,BinEksp[[#This Row],[Kompleksitet]],BinEksp[[#This Row],[Læringsrate]],IF(BinEksp[[#This Row],[Augmentering]]="ja","aug",""),IF(BinEksp[[#This Row],[Validering]]="ja","flip",""))</f>
        <v>B3_0.0005_flip</v>
      </c>
      <c r="AJ14" s="99" t="s">
        <v>340</v>
      </c>
      <c r="AK14" s="99" t="str">
        <f>_xlfn.TEXTJOIN("_",TRUE,BinEksp[[#This Row],[Kompleksitet]],BinEksp[[#This Row],[Læringsrate]],IF(BinEksp[[#This Row],[Augmentering]]="ja","aug",""))</f>
        <v>B3_0.0005</v>
      </c>
      <c r="AL14" s="99" t="str">
        <f>_xlfn.TEXTJOIN("",TRUE,BinEksp[[#This Row],[Kompleksitet]],IF(BinEksp[[#This Row],[Augmentering]]="Ja","B","A"))</f>
        <v>B3A</v>
      </c>
    </row>
    <row r="15" spans="1:38" ht="60">
      <c r="A15" s="96">
        <v>11810680</v>
      </c>
      <c r="B15" s="97" t="s">
        <v>238</v>
      </c>
      <c r="C15" s="103"/>
      <c r="D15" s="96" t="s">
        <v>220</v>
      </c>
      <c r="E15" s="96" t="str">
        <f>_xlfn.TEXTJOIN("_",TRUE,BinEksp[[#This Row],[Kompleksitet]],BinEksp[[#This Row],[Dataset (.h5)]],_xlfn.TEXTJOIN("",TRUE,"bs",BinEksp[[#This Row],[Partistørrelse]]),BinEksp[[#This Row],[Læringsrate]],IF(BinEksp[[#This Row],[Augmentering]]="ja","aug",""),IF(BinEksp[[#This Row],[Validering]]="ja","flip",""))</f>
        <v>B2_800_normal_abnormal_2_bs25_0.001_flip</v>
      </c>
      <c r="F15" s="96" t="s">
        <v>25</v>
      </c>
      <c r="G15" s="96">
        <v>1E-3</v>
      </c>
      <c r="H15" s="96" t="s">
        <v>208</v>
      </c>
      <c r="I15" s="96">
        <v>25</v>
      </c>
      <c r="J15" s="96" t="s">
        <v>209</v>
      </c>
      <c r="K15" s="96" t="s">
        <v>149</v>
      </c>
      <c r="L15" s="102">
        <v>7.9976851851851841E-2</v>
      </c>
      <c r="M15" s="96">
        <v>100</v>
      </c>
      <c r="N15" s="96">
        <v>96</v>
      </c>
      <c r="O15" s="100">
        <v>0.93722450000000002</v>
      </c>
      <c r="P15" s="100">
        <v>0.88602939999999997</v>
      </c>
      <c r="Q15" s="100">
        <v>0.77163264900776196</v>
      </c>
      <c r="R15" s="100">
        <v>0.89836065573770396</v>
      </c>
      <c r="S15" s="100">
        <v>0.87029288702928798</v>
      </c>
      <c r="T15" s="100">
        <v>0.96114295999999999</v>
      </c>
      <c r="U15" s="100">
        <v>0.90441179999999999</v>
      </c>
      <c r="V15" s="100">
        <v>0.80865046740759405</v>
      </c>
      <c r="W15" s="100">
        <v>0.91447368421052599</v>
      </c>
      <c r="X15" s="100">
        <v>0.89166666666666605</v>
      </c>
      <c r="Y15" s="98">
        <f>_xlfn.XLOOKUP(BinEksp[[#This Row],[Dataset (.h5)]],Datasett[Datasett (.h5)],Datasett[total]," ")</f>
        <v>1090</v>
      </c>
      <c r="Z15" s="99">
        <f>IFERROR(_xlfn.XLOOKUP(BinEksp[[#This Row],[Dataset (.h5)]],Datasett[Datasett (.h5)],Datasett[Normale]," ")/BinEksp[[#This Row],[Number of samples]]," ")</f>
        <v>0.45871559633027525</v>
      </c>
      <c r="AA15" s="99">
        <f>IFERROR(_xlfn.XLOOKUP(BinEksp[[#This Row],[Dataset (.h5)]],Datasett[Datasett (.h5)],Datasett[1 artrose/sklerose]," ")/BinEksp[[#This Row],[Number of samples]]," ")</f>
        <v>0.23577981651376148</v>
      </c>
      <c r="AB15" s="99">
        <f>IFERROR(_xlfn.XLOOKUP(BinEksp[[#This Row],[Dataset (.h5)]],Datasett[Datasett (.h5)],Datasett[2 artrose]," ")/BinEksp[[#This Row],[Number of samples]]," ")</f>
        <v>0.11376146788990826</v>
      </c>
      <c r="AC15" s="99">
        <f>IFERROR(_xlfn.XLOOKUP(BinEksp[[#This Row],[Dataset (.h5)]],Datasett[Datasett (.h5)],Datasett[2 MCD]," ")/BinEksp[[#This Row],[Number of samples]]," ")</f>
        <v>4.8623853211009177E-2</v>
      </c>
      <c r="AD15" s="99">
        <f>IFERROR(_xlfn.XLOOKUP(BinEksp[[#This Row],[Dataset (.h5)]],Datasett[Datasett (.h5)],Datasett[3 artrose]," ")/BinEksp[[#This Row],[Number of samples]]," ")</f>
        <v>4.9541284403669728E-2</v>
      </c>
      <c r="AE15" s="99">
        <f>IFERROR(_xlfn.XLOOKUP(BinEksp[[#This Row],[Dataset (.h5)]],Datasett[Datasett (.h5)],Datasett[3 MCD]," ")/BinEksp[[#This Row],[Number of samples]]," ")</f>
        <v>7.5229357798165142E-2</v>
      </c>
      <c r="AF15" s="99">
        <f>IFERROR(_xlfn.XLOOKUP(BinEksp[[#This Row],[Dataset (.h5)]],Datasett[Datasett (.h5)],Datasett[3 OCD]," ")/BinEksp[[#This Row],[Number of samples]]," ")</f>
        <v>7.3394495412844041E-3</v>
      </c>
      <c r="AG15" s="99">
        <f>IFERROR(_xlfn.XLOOKUP(BinEksp[[#This Row],[Dataset (.h5)]],Datasett[Datasett (.h5)],Datasett[3 UAP]," ")/BinEksp[[#This Row],[Number of samples]]," ")</f>
        <v>1.1009174311926606E-2</v>
      </c>
      <c r="AH15" s="101">
        <f>SUM(BinEksp[[#This Row],[1 artrose/ sklerose]:[3 UAP]])</f>
        <v>0.54128440366972475</v>
      </c>
      <c r="AI15" s="115" t="str">
        <f>_xlfn.TEXTJOIN("_",TRUE,BinEksp[[#This Row],[Kompleksitet]],BinEksp[[#This Row],[Læringsrate]],IF(BinEksp[[#This Row],[Augmentering]]="ja","aug",""),IF(BinEksp[[#This Row],[Validering]]="ja","flip",""))</f>
        <v>B2_0.001_flip</v>
      </c>
      <c r="AJ15" s="99" t="s">
        <v>340</v>
      </c>
      <c r="AK15" s="99" t="str">
        <f>_xlfn.TEXTJOIN("_",TRUE,BinEksp[[#This Row],[Kompleksitet]],BinEksp[[#This Row],[Læringsrate]],IF(BinEksp[[#This Row],[Augmentering]]="ja","aug",""))</f>
        <v>B2_0.001</v>
      </c>
      <c r="AL15" s="99" t="str">
        <f>_xlfn.TEXTJOIN("",TRUE,BinEksp[[#This Row],[Kompleksitet]],IF(BinEksp[[#This Row],[Augmentering]]="Ja","B","A"))</f>
        <v>B2A</v>
      </c>
    </row>
    <row r="16" spans="1:38" ht="60">
      <c r="A16" s="96">
        <v>11811993</v>
      </c>
      <c r="B16" s="97" t="s">
        <v>239</v>
      </c>
      <c r="C16" s="103"/>
      <c r="D16" s="96" t="s">
        <v>220</v>
      </c>
      <c r="E16" s="96" t="str">
        <f>_xlfn.TEXTJOIN("_",TRUE,BinEksp[[#This Row],[Kompleksitet]],BinEksp[[#This Row],[Dataset (.h5)]],_xlfn.TEXTJOIN("",TRUE,"bs",BinEksp[[#This Row],[Partistørrelse]]),BinEksp[[#This Row],[Læringsrate]],IF(BinEksp[[#This Row],[Augmentering]]="ja","aug",""),IF(BinEksp[[#This Row],[Validering]]="ja","flip",""))</f>
        <v>B3_800_normal_abnormal_2_bs16_0.0005_aug</v>
      </c>
      <c r="F16" s="96" t="s">
        <v>30</v>
      </c>
      <c r="G16" s="96">
        <v>5.0000000000000001E-4</v>
      </c>
      <c r="H16" s="96" t="s">
        <v>209</v>
      </c>
      <c r="I16" s="96">
        <v>16</v>
      </c>
      <c r="J16" s="96" t="s">
        <v>208</v>
      </c>
      <c r="K16" s="96" t="s">
        <v>149</v>
      </c>
      <c r="L16" s="102">
        <v>0.13675925925925927</v>
      </c>
      <c r="M16" s="96">
        <v>100</v>
      </c>
      <c r="N16" s="96">
        <v>90</v>
      </c>
      <c r="O16" s="100">
        <v>0.97580940000000005</v>
      </c>
      <c r="P16" s="100">
        <v>0.95588240000000002</v>
      </c>
      <c r="Q16" s="100">
        <v>0.91117728189160696</v>
      </c>
      <c r="R16" s="100">
        <v>0.95945945945945899</v>
      </c>
      <c r="S16" s="100">
        <v>0.95161290322580605</v>
      </c>
      <c r="T16" s="100">
        <v>0.96734684999999998</v>
      </c>
      <c r="U16" s="100">
        <v>0.92647060000000003</v>
      </c>
      <c r="V16" s="100">
        <v>0.85188890902526704</v>
      </c>
      <c r="W16" s="100">
        <v>0.93243243243243201</v>
      </c>
      <c r="X16" s="100">
        <v>0.91935483870967705</v>
      </c>
      <c r="Y16" s="98">
        <f>_xlfn.XLOOKUP(BinEksp[[#This Row],[Dataset (.h5)]],Datasett[Datasett (.h5)],Datasett[total]," ")</f>
        <v>1090</v>
      </c>
      <c r="Z16" s="99">
        <f>IFERROR(_xlfn.XLOOKUP(BinEksp[[#This Row],[Dataset (.h5)]],Datasett[Datasett (.h5)],Datasett[Normale]," ")/BinEksp[[#This Row],[Number of samples]]," ")</f>
        <v>0.45871559633027525</v>
      </c>
      <c r="AA16" s="99">
        <f>IFERROR(_xlfn.XLOOKUP(BinEksp[[#This Row],[Dataset (.h5)]],Datasett[Datasett (.h5)],Datasett[1 artrose/sklerose]," ")/BinEksp[[#This Row],[Number of samples]]," ")</f>
        <v>0.23577981651376148</v>
      </c>
      <c r="AB16" s="99">
        <f>IFERROR(_xlfn.XLOOKUP(BinEksp[[#This Row],[Dataset (.h5)]],Datasett[Datasett (.h5)],Datasett[2 artrose]," ")/BinEksp[[#This Row],[Number of samples]]," ")</f>
        <v>0.11376146788990826</v>
      </c>
      <c r="AC16" s="99">
        <f>IFERROR(_xlfn.XLOOKUP(BinEksp[[#This Row],[Dataset (.h5)]],Datasett[Datasett (.h5)],Datasett[2 MCD]," ")/BinEksp[[#This Row],[Number of samples]]," ")</f>
        <v>4.8623853211009177E-2</v>
      </c>
      <c r="AD16" s="99">
        <f>IFERROR(_xlfn.XLOOKUP(BinEksp[[#This Row],[Dataset (.h5)]],Datasett[Datasett (.h5)],Datasett[3 artrose]," ")/BinEksp[[#This Row],[Number of samples]]," ")</f>
        <v>4.9541284403669728E-2</v>
      </c>
      <c r="AE16" s="99">
        <f>IFERROR(_xlfn.XLOOKUP(BinEksp[[#This Row],[Dataset (.h5)]],Datasett[Datasett (.h5)],Datasett[3 MCD]," ")/BinEksp[[#This Row],[Number of samples]]," ")</f>
        <v>7.5229357798165142E-2</v>
      </c>
      <c r="AF16" s="99">
        <f>IFERROR(_xlfn.XLOOKUP(BinEksp[[#This Row],[Dataset (.h5)]],Datasett[Datasett (.h5)],Datasett[3 OCD]," ")/BinEksp[[#This Row],[Number of samples]]," ")</f>
        <v>7.3394495412844041E-3</v>
      </c>
      <c r="AG16" s="99">
        <f>IFERROR(_xlfn.XLOOKUP(BinEksp[[#This Row],[Dataset (.h5)]],Datasett[Datasett (.h5)],Datasett[3 UAP]," ")/BinEksp[[#This Row],[Number of samples]]," ")</f>
        <v>1.1009174311926606E-2</v>
      </c>
      <c r="AH16" s="101">
        <f>SUM(BinEksp[[#This Row],[1 artrose/ sklerose]:[3 UAP]])</f>
        <v>0.54128440366972475</v>
      </c>
      <c r="AI16" s="115" t="str">
        <f>_xlfn.TEXTJOIN("_",TRUE,BinEksp[[#This Row],[Kompleksitet]],BinEksp[[#This Row],[Læringsrate]],IF(BinEksp[[#This Row],[Augmentering]]="ja","aug",""),IF(BinEksp[[#This Row],[Validering]]="ja","flip",""))</f>
        <v>B3_0.0005_aug</v>
      </c>
      <c r="AJ16" s="99" t="s">
        <v>340</v>
      </c>
      <c r="AK16" s="99" t="str">
        <f>_xlfn.TEXTJOIN("_",TRUE,BinEksp[[#This Row],[Kompleksitet]],BinEksp[[#This Row],[Læringsrate]],IF(BinEksp[[#This Row],[Augmentering]]="ja","aug",""))</f>
        <v>B3_0.0005_aug</v>
      </c>
      <c r="AL16" s="99" t="str">
        <f>_xlfn.TEXTJOIN("",TRUE,BinEksp[[#This Row],[Kompleksitet]],IF(BinEksp[[#This Row],[Augmentering]]="Ja","B","A"))</f>
        <v>B3B</v>
      </c>
    </row>
    <row r="17" spans="1:38" ht="45">
      <c r="A17" s="96">
        <v>11811996</v>
      </c>
      <c r="B17" s="97" t="s">
        <v>240</v>
      </c>
      <c r="C17" s="103"/>
      <c r="D17" s="96" t="s">
        <v>220</v>
      </c>
      <c r="E17" s="96" t="str">
        <f>_xlfn.TEXTJOIN("_",TRUE,BinEksp[[#This Row],[Kompleksitet]],BinEksp[[#This Row],[Dataset (.h5)]],_xlfn.TEXTJOIN("",TRUE,"bs",BinEksp[[#This Row],[Partistørrelse]]),BinEksp[[#This Row],[Læringsrate]],IF(BinEksp[[#This Row],[Augmentering]]="ja","aug",""),IF(BinEksp[[#This Row],[Validering]]="ja","flip",""))</f>
        <v>B4_800_normal_abnormal_2_bs8_0.0005</v>
      </c>
      <c r="F17" s="96" t="s">
        <v>57</v>
      </c>
      <c r="G17" s="96">
        <v>5.0000000000000001E-4</v>
      </c>
      <c r="H17" s="96" t="s">
        <v>208</v>
      </c>
      <c r="I17" s="96">
        <v>8</v>
      </c>
      <c r="J17" s="96" t="s">
        <v>208</v>
      </c>
      <c r="K17" s="96" t="s">
        <v>149</v>
      </c>
      <c r="L17" s="102">
        <v>6.5925925925925929E-2</v>
      </c>
      <c r="M17" s="96">
        <v>50</v>
      </c>
      <c r="N17" s="96">
        <v>33</v>
      </c>
      <c r="O17" s="100">
        <v>0.97648984000000005</v>
      </c>
      <c r="P17" s="100">
        <v>0.94852939999999997</v>
      </c>
      <c r="Q17" s="100">
        <v>0.89638095238095195</v>
      </c>
      <c r="R17" s="100">
        <v>0.952380952380952</v>
      </c>
      <c r="S17" s="100">
        <v>0.94399999999999995</v>
      </c>
      <c r="T17" s="100">
        <v>0.97107489999999996</v>
      </c>
      <c r="U17" s="100">
        <v>0.91911759999999998</v>
      </c>
      <c r="V17" s="100">
        <v>0.83717006802720995</v>
      </c>
      <c r="W17" s="100">
        <v>0.92517006802721002</v>
      </c>
      <c r="X17" s="100">
        <v>0.91200000000000003</v>
      </c>
      <c r="Y17" s="98">
        <f>_xlfn.XLOOKUP(BinEksp[[#This Row],[Dataset (.h5)]],Datasett[Datasett (.h5)],Datasett[total]," ")</f>
        <v>1090</v>
      </c>
      <c r="Z17" s="99">
        <f>IFERROR(_xlfn.XLOOKUP(BinEksp[[#This Row],[Dataset (.h5)]],Datasett[Datasett (.h5)],Datasett[Normale]," ")/BinEksp[[#This Row],[Number of samples]]," ")</f>
        <v>0.45871559633027525</v>
      </c>
      <c r="AA17" s="99">
        <f>IFERROR(_xlfn.XLOOKUP(BinEksp[[#This Row],[Dataset (.h5)]],Datasett[Datasett (.h5)],Datasett[1 artrose/sklerose]," ")/BinEksp[[#This Row],[Number of samples]]," ")</f>
        <v>0.23577981651376148</v>
      </c>
      <c r="AB17" s="99">
        <f>IFERROR(_xlfn.XLOOKUP(BinEksp[[#This Row],[Dataset (.h5)]],Datasett[Datasett (.h5)],Datasett[2 artrose]," ")/BinEksp[[#This Row],[Number of samples]]," ")</f>
        <v>0.11376146788990826</v>
      </c>
      <c r="AC17" s="99">
        <f>IFERROR(_xlfn.XLOOKUP(BinEksp[[#This Row],[Dataset (.h5)]],Datasett[Datasett (.h5)],Datasett[2 MCD]," ")/BinEksp[[#This Row],[Number of samples]]," ")</f>
        <v>4.8623853211009177E-2</v>
      </c>
      <c r="AD17" s="99">
        <f>IFERROR(_xlfn.XLOOKUP(BinEksp[[#This Row],[Dataset (.h5)]],Datasett[Datasett (.h5)],Datasett[3 artrose]," ")/BinEksp[[#This Row],[Number of samples]]," ")</f>
        <v>4.9541284403669728E-2</v>
      </c>
      <c r="AE17" s="99">
        <f>IFERROR(_xlfn.XLOOKUP(BinEksp[[#This Row],[Dataset (.h5)]],Datasett[Datasett (.h5)],Datasett[3 MCD]," ")/BinEksp[[#This Row],[Number of samples]]," ")</f>
        <v>7.5229357798165142E-2</v>
      </c>
      <c r="AF17" s="99">
        <f>IFERROR(_xlfn.XLOOKUP(BinEksp[[#This Row],[Dataset (.h5)]],Datasett[Datasett (.h5)],Datasett[3 OCD]," ")/BinEksp[[#This Row],[Number of samples]]," ")</f>
        <v>7.3394495412844041E-3</v>
      </c>
      <c r="AG17" s="99">
        <f>IFERROR(_xlfn.XLOOKUP(BinEksp[[#This Row],[Dataset (.h5)]],Datasett[Datasett (.h5)],Datasett[3 UAP]," ")/BinEksp[[#This Row],[Number of samples]]," ")</f>
        <v>1.1009174311926606E-2</v>
      </c>
      <c r="AH17" s="101">
        <f>SUM(BinEksp[[#This Row],[1 artrose/ sklerose]:[3 UAP]])</f>
        <v>0.54128440366972475</v>
      </c>
      <c r="AI17" s="115" t="str">
        <f>_xlfn.TEXTJOIN("_",TRUE,BinEksp[[#This Row],[Kompleksitet]],BinEksp[[#This Row],[Læringsrate]],IF(BinEksp[[#This Row],[Augmentering]]="ja","aug",""),IF(BinEksp[[#This Row],[Validering]]="ja","flip",""))</f>
        <v>B4_0.0005</v>
      </c>
      <c r="AJ17" s="99" t="s">
        <v>340</v>
      </c>
      <c r="AK17" s="99" t="str">
        <f>_xlfn.TEXTJOIN("_",TRUE,BinEksp[[#This Row],[Kompleksitet]],BinEksp[[#This Row],[Læringsrate]],IF(BinEksp[[#This Row],[Augmentering]]="ja","aug",""))</f>
        <v>B4_0.0005</v>
      </c>
      <c r="AL17" s="99" t="str">
        <f>_xlfn.TEXTJOIN("",TRUE,BinEksp[[#This Row],[Kompleksitet]],IF(BinEksp[[#This Row],[Augmentering]]="Ja","B","A"))</f>
        <v>B4A</v>
      </c>
    </row>
    <row r="18" spans="1:38" ht="45">
      <c r="A18" s="96">
        <v>11812132</v>
      </c>
      <c r="B18" s="97" t="s">
        <v>242</v>
      </c>
      <c r="C18" s="103"/>
      <c r="D18" s="96" t="s">
        <v>220</v>
      </c>
      <c r="E18" s="96" t="str">
        <f>_xlfn.TEXTJOIN("_",TRUE,BinEksp[[#This Row],[Kompleksitet]],BinEksp[[#This Row],[Dataset (.h5)]],_xlfn.TEXTJOIN("",TRUE,"bs",BinEksp[[#This Row],[Partistørrelse]]),BinEksp[[#This Row],[Læringsrate]],IF(BinEksp[[#This Row],[Augmentering]]="ja","aug",""),IF(BinEksp[[#This Row],[Validering]]="ja","flip",""))</f>
        <v>B4_800_normal_abnormal_2_bs8_0.0005_aug</v>
      </c>
      <c r="F18" s="96" t="s">
        <v>57</v>
      </c>
      <c r="G18" s="96">
        <v>5.0000000000000001E-4</v>
      </c>
      <c r="H18" s="96" t="s">
        <v>209</v>
      </c>
      <c r="I18" s="96">
        <v>8</v>
      </c>
      <c r="J18" s="96" t="s">
        <v>208</v>
      </c>
      <c r="K18" s="96" t="s">
        <v>149</v>
      </c>
      <c r="L18" s="102">
        <v>8.2199074074074077E-2</v>
      </c>
      <c r="M18" s="96">
        <v>50</v>
      </c>
      <c r="N18" s="96">
        <v>47</v>
      </c>
      <c r="O18" s="100">
        <v>0.98527883999999999</v>
      </c>
      <c r="P18" s="100">
        <v>0.96323530000000002</v>
      </c>
      <c r="Q18" s="100">
        <v>0.92715941898010901</v>
      </c>
      <c r="R18" s="100">
        <v>0.96527777777777701</v>
      </c>
      <c r="S18" s="100">
        <v>0.9609375</v>
      </c>
      <c r="T18" s="100">
        <v>0.9627483</v>
      </c>
      <c r="U18" s="100">
        <v>0.93014704999999998</v>
      </c>
      <c r="V18" s="100">
        <v>0.85983747519461795</v>
      </c>
      <c r="W18" s="100">
        <v>0.93470790378006796</v>
      </c>
      <c r="X18" s="100">
        <v>0.92490118577075098</v>
      </c>
      <c r="Y18" s="98">
        <f>_xlfn.XLOOKUP(BinEksp[[#This Row],[Dataset (.h5)]],Datasett[Datasett (.h5)],Datasett[total]," ")</f>
        <v>1090</v>
      </c>
      <c r="Z18" s="99">
        <f>IFERROR(_xlfn.XLOOKUP(BinEksp[[#This Row],[Dataset (.h5)]],Datasett[Datasett (.h5)],Datasett[Normale]," ")/BinEksp[[#This Row],[Number of samples]]," ")</f>
        <v>0.45871559633027525</v>
      </c>
      <c r="AA18" s="99">
        <f>IFERROR(_xlfn.XLOOKUP(BinEksp[[#This Row],[Dataset (.h5)]],Datasett[Datasett (.h5)],Datasett[1 artrose/sklerose]," ")/BinEksp[[#This Row],[Number of samples]]," ")</f>
        <v>0.23577981651376148</v>
      </c>
      <c r="AB18" s="99">
        <f>IFERROR(_xlfn.XLOOKUP(BinEksp[[#This Row],[Dataset (.h5)]],Datasett[Datasett (.h5)],Datasett[2 artrose]," ")/BinEksp[[#This Row],[Number of samples]]," ")</f>
        <v>0.11376146788990826</v>
      </c>
      <c r="AC18" s="99">
        <f>IFERROR(_xlfn.XLOOKUP(BinEksp[[#This Row],[Dataset (.h5)]],Datasett[Datasett (.h5)],Datasett[2 MCD]," ")/BinEksp[[#This Row],[Number of samples]]," ")</f>
        <v>4.8623853211009177E-2</v>
      </c>
      <c r="AD18" s="99">
        <f>IFERROR(_xlfn.XLOOKUP(BinEksp[[#This Row],[Dataset (.h5)]],Datasett[Datasett (.h5)],Datasett[3 artrose]," ")/BinEksp[[#This Row],[Number of samples]]," ")</f>
        <v>4.9541284403669728E-2</v>
      </c>
      <c r="AE18" s="99">
        <f>IFERROR(_xlfn.XLOOKUP(BinEksp[[#This Row],[Dataset (.h5)]],Datasett[Datasett (.h5)],Datasett[3 MCD]," ")/BinEksp[[#This Row],[Number of samples]]," ")</f>
        <v>7.5229357798165142E-2</v>
      </c>
      <c r="AF18" s="99">
        <f>IFERROR(_xlfn.XLOOKUP(BinEksp[[#This Row],[Dataset (.h5)]],Datasett[Datasett (.h5)],Datasett[3 OCD]," ")/BinEksp[[#This Row],[Number of samples]]," ")</f>
        <v>7.3394495412844041E-3</v>
      </c>
      <c r="AG18" s="99">
        <f>IFERROR(_xlfn.XLOOKUP(BinEksp[[#This Row],[Dataset (.h5)]],Datasett[Datasett (.h5)],Datasett[3 UAP]," ")/BinEksp[[#This Row],[Number of samples]]," ")</f>
        <v>1.1009174311926606E-2</v>
      </c>
      <c r="AH18" s="101">
        <f>SUM(BinEksp[[#This Row],[1 artrose/ sklerose]:[3 UAP]])</f>
        <v>0.54128440366972475</v>
      </c>
      <c r="AI18" s="115" t="str">
        <f>_xlfn.TEXTJOIN("_",TRUE,BinEksp[[#This Row],[Kompleksitet]],BinEksp[[#This Row],[Læringsrate]],IF(BinEksp[[#This Row],[Augmentering]]="ja","aug",""),IF(BinEksp[[#This Row],[Validering]]="ja","flip",""))</f>
        <v>B4_0.0005_aug</v>
      </c>
      <c r="AJ18" s="99" t="s">
        <v>340</v>
      </c>
      <c r="AK18" s="99" t="str">
        <f>_xlfn.TEXTJOIN("_",TRUE,BinEksp[[#This Row],[Kompleksitet]],BinEksp[[#This Row],[Læringsrate]],IF(BinEksp[[#This Row],[Augmentering]]="ja","aug",""))</f>
        <v>B4_0.0005_aug</v>
      </c>
      <c r="AL18" s="99" t="str">
        <f>_xlfn.TEXTJOIN("",TRUE,BinEksp[[#This Row],[Kompleksitet]],IF(BinEksp[[#This Row],[Augmentering]]="Ja","B","A"))</f>
        <v>B4B</v>
      </c>
    </row>
    <row r="19" spans="1:38" ht="60">
      <c r="A19" s="96">
        <v>11819395</v>
      </c>
      <c r="B19" s="97" t="s">
        <v>241</v>
      </c>
      <c r="C19" s="103" t="s">
        <v>243</v>
      </c>
      <c r="D19" s="96" t="s">
        <v>220</v>
      </c>
      <c r="E19" s="96" t="str">
        <f>_xlfn.TEXTJOIN("_",TRUE,BinEksp[[#This Row],[Kompleksitet]],BinEksp[[#This Row],[Dataset (.h5)]],_xlfn.TEXTJOIN("",TRUE,"bs",BinEksp[[#This Row],[Partistørrelse]]),BinEksp[[#This Row],[Læringsrate]],IF(BinEksp[[#This Row],[Augmentering]]="ja","aug",""),IF(BinEksp[[#This Row],[Validering]]="ja","flip",""))</f>
        <v>B3_800_normal_abnormal_2_bs16_0.0005_aug_flip</v>
      </c>
      <c r="F19" s="96" t="s">
        <v>30</v>
      </c>
      <c r="G19" s="96">
        <v>5.0000000000000001E-4</v>
      </c>
      <c r="H19" s="96" t="s">
        <v>209</v>
      </c>
      <c r="I19" s="96">
        <v>16</v>
      </c>
      <c r="J19" s="96" t="s">
        <v>209</v>
      </c>
      <c r="K19" s="96" t="s">
        <v>149</v>
      </c>
      <c r="L19" s="102">
        <v>0.13261574074074076</v>
      </c>
      <c r="M19" s="96">
        <v>100</v>
      </c>
      <c r="N19" s="96">
        <v>80</v>
      </c>
      <c r="O19" s="100">
        <v>0.97308839999999996</v>
      </c>
      <c r="P19" s="100">
        <v>0.93014704999999998</v>
      </c>
      <c r="Q19" s="100">
        <v>0.85948179690370297</v>
      </c>
      <c r="R19" s="100">
        <v>0.93515358361774703</v>
      </c>
      <c r="S19" s="100">
        <v>0.92430278884462103</v>
      </c>
      <c r="T19" s="100">
        <v>0.96438100000000004</v>
      </c>
      <c r="U19" s="100">
        <v>0.92279409999999995</v>
      </c>
      <c r="V19" s="100">
        <v>0.84450074335090997</v>
      </c>
      <c r="W19" s="100">
        <v>0.92929292929292895</v>
      </c>
      <c r="X19" s="100">
        <v>0.91497975708502</v>
      </c>
      <c r="Y19" s="98">
        <f>_xlfn.XLOOKUP(BinEksp[[#This Row],[Dataset (.h5)]],Datasett[Datasett (.h5)],Datasett[total]," ")</f>
        <v>1090</v>
      </c>
      <c r="Z19" s="99">
        <f>IFERROR(_xlfn.XLOOKUP(BinEksp[[#This Row],[Dataset (.h5)]],Datasett[Datasett (.h5)],Datasett[Normale]," ")/BinEksp[[#This Row],[Number of samples]]," ")</f>
        <v>0.45871559633027525</v>
      </c>
      <c r="AA19" s="99">
        <f>IFERROR(_xlfn.XLOOKUP(BinEksp[[#This Row],[Dataset (.h5)]],Datasett[Datasett (.h5)],Datasett[1 artrose/sklerose]," ")/BinEksp[[#This Row],[Number of samples]]," ")</f>
        <v>0.23577981651376148</v>
      </c>
      <c r="AB19" s="99">
        <f>IFERROR(_xlfn.XLOOKUP(BinEksp[[#This Row],[Dataset (.h5)]],Datasett[Datasett (.h5)],Datasett[2 artrose]," ")/BinEksp[[#This Row],[Number of samples]]," ")</f>
        <v>0.11376146788990826</v>
      </c>
      <c r="AC19" s="99">
        <f>IFERROR(_xlfn.XLOOKUP(BinEksp[[#This Row],[Dataset (.h5)]],Datasett[Datasett (.h5)],Datasett[2 MCD]," ")/BinEksp[[#This Row],[Number of samples]]," ")</f>
        <v>4.8623853211009177E-2</v>
      </c>
      <c r="AD19" s="99">
        <f>IFERROR(_xlfn.XLOOKUP(BinEksp[[#This Row],[Dataset (.h5)]],Datasett[Datasett (.h5)],Datasett[3 artrose]," ")/BinEksp[[#This Row],[Number of samples]]," ")</f>
        <v>4.9541284403669728E-2</v>
      </c>
      <c r="AE19" s="99">
        <f>IFERROR(_xlfn.XLOOKUP(BinEksp[[#This Row],[Dataset (.h5)]],Datasett[Datasett (.h5)],Datasett[3 MCD]," ")/BinEksp[[#This Row],[Number of samples]]," ")</f>
        <v>7.5229357798165142E-2</v>
      </c>
      <c r="AF19" s="99">
        <f>IFERROR(_xlfn.XLOOKUP(BinEksp[[#This Row],[Dataset (.h5)]],Datasett[Datasett (.h5)],Datasett[3 OCD]," ")/BinEksp[[#This Row],[Number of samples]]," ")</f>
        <v>7.3394495412844041E-3</v>
      </c>
      <c r="AG19" s="99">
        <f>IFERROR(_xlfn.XLOOKUP(BinEksp[[#This Row],[Dataset (.h5)]],Datasett[Datasett (.h5)],Datasett[3 UAP]," ")/BinEksp[[#This Row],[Number of samples]]," ")</f>
        <v>1.1009174311926606E-2</v>
      </c>
      <c r="AH19" s="101">
        <f>SUM(BinEksp[[#This Row],[1 artrose/ sklerose]:[3 UAP]])</f>
        <v>0.54128440366972475</v>
      </c>
      <c r="AI19" s="115" t="str">
        <f>_xlfn.TEXTJOIN("_",TRUE,BinEksp[[#This Row],[Kompleksitet]],BinEksp[[#This Row],[Læringsrate]],IF(BinEksp[[#This Row],[Augmentering]]="ja","aug",""),IF(BinEksp[[#This Row],[Validering]]="ja","flip",""))</f>
        <v>B3_0.0005_aug_flip</v>
      </c>
      <c r="AJ19" s="99" t="s">
        <v>340</v>
      </c>
      <c r="AK19" s="99" t="str">
        <f>_xlfn.TEXTJOIN("_",TRUE,BinEksp[[#This Row],[Kompleksitet]],BinEksp[[#This Row],[Læringsrate]],IF(BinEksp[[#This Row],[Augmentering]]="ja","aug",""))</f>
        <v>B3_0.0005_aug</v>
      </c>
      <c r="AL19" s="99" t="str">
        <f>_xlfn.TEXTJOIN("",TRUE,BinEksp[[#This Row],[Kompleksitet]],IF(BinEksp[[#This Row],[Augmentering]]="Ja","B","A"))</f>
        <v>B3B</v>
      </c>
    </row>
    <row r="20" spans="1:38" ht="60">
      <c r="A20" s="96">
        <v>11819510</v>
      </c>
      <c r="B20" s="97" t="s">
        <v>245</v>
      </c>
      <c r="C20" s="103" t="s">
        <v>246</v>
      </c>
      <c r="D20" s="96" t="s">
        <v>244</v>
      </c>
      <c r="E20" s="96" t="str">
        <f>_xlfn.TEXTJOIN("_",TRUE,BinEksp[[#This Row],[Kompleksitet]],BinEksp[[#This Row],[Dataset (.h5)]],_xlfn.TEXTJOIN("",TRUE,"bs",BinEksp[[#This Row],[Partistørrelse]]),BinEksp[[#This Row],[Læringsrate]],IF(BinEksp[[#This Row],[Augmentering]]="ja","aug",""),IF(BinEksp[[#This Row],[Validering]]="ja","flip",""))</f>
        <v>B3_1280_normal_abnormal_2_bs4_0.00005</v>
      </c>
      <c r="F20" s="96" t="s">
        <v>30</v>
      </c>
      <c r="G20" s="96">
        <v>5.0000000000000002E-5</v>
      </c>
      <c r="H20" s="96" t="s">
        <v>208</v>
      </c>
      <c r="I20" s="96">
        <v>4</v>
      </c>
      <c r="J20" s="96" t="s">
        <v>208</v>
      </c>
      <c r="K20" s="96" t="s">
        <v>149</v>
      </c>
      <c r="L20" s="102">
        <v>0.13828703703703704</v>
      </c>
      <c r="M20" s="96">
        <v>50</v>
      </c>
      <c r="N20" s="96">
        <v>39</v>
      </c>
      <c r="O20" s="100">
        <v>0.91183670000000006</v>
      </c>
      <c r="P20" s="100">
        <v>0.84926469999999998</v>
      </c>
      <c r="Q20" s="100">
        <v>0.69970786621577696</v>
      </c>
      <c r="R20" s="100">
        <v>0.85614035087719298</v>
      </c>
      <c r="S20" s="100">
        <v>0.84169884169884102</v>
      </c>
      <c r="T20" s="100">
        <v>0.93107490000000004</v>
      </c>
      <c r="U20" s="100">
        <v>0.86397060000000003</v>
      </c>
      <c r="V20" s="100">
        <v>0.73160647261482104</v>
      </c>
      <c r="W20" s="100">
        <v>0.86832740213523096</v>
      </c>
      <c r="X20" s="100">
        <v>0.85931558935361196</v>
      </c>
      <c r="Y20" s="98">
        <f>_xlfn.XLOOKUP(BinEksp[[#This Row],[Dataset (.h5)]],Datasett[Datasett (.h5)],Datasett[total]," ")</f>
        <v>1090</v>
      </c>
      <c r="Z20" s="99">
        <f>IFERROR(_xlfn.XLOOKUP(BinEksp[[#This Row],[Dataset (.h5)]],Datasett[Datasett (.h5)],Datasett[Normale]," ")/BinEksp[[#This Row],[Number of samples]]," ")</f>
        <v>0.45871559633027525</v>
      </c>
      <c r="AA20" s="99">
        <f>IFERROR(_xlfn.XLOOKUP(BinEksp[[#This Row],[Dataset (.h5)]],Datasett[Datasett (.h5)],Datasett[1 artrose/sklerose]," ")/BinEksp[[#This Row],[Number of samples]]," ")</f>
        <v>0.23577981651376148</v>
      </c>
      <c r="AB20" s="99">
        <f>IFERROR(_xlfn.XLOOKUP(BinEksp[[#This Row],[Dataset (.h5)]],Datasett[Datasett (.h5)],Datasett[2 artrose]," ")/BinEksp[[#This Row],[Number of samples]]," ")</f>
        <v>0.11376146788990826</v>
      </c>
      <c r="AC20" s="99">
        <f>IFERROR(_xlfn.XLOOKUP(BinEksp[[#This Row],[Dataset (.h5)]],Datasett[Datasett (.h5)],Datasett[2 MCD]," ")/BinEksp[[#This Row],[Number of samples]]," ")</f>
        <v>4.8623853211009177E-2</v>
      </c>
      <c r="AD20" s="99">
        <f>IFERROR(_xlfn.XLOOKUP(BinEksp[[#This Row],[Dataset (.h5)]],Datasett[Datasett (.h5)],Datasett[3 artrose]," ")/BinEksp[[#This Row],[Number of samples]]," ")</f>
        <v>4.9541284403669728E-2</v>
      </c>
      <c r="AE20" s="99">
        <f>IFERROR(_xlfn.XLOOKUP(BinEksp[[#This Row],[Dataset (.h5)]],Datasett[Datasett (.h5)],Datasett[3 MCD]," ")/BinEksp[[#This Row],[Number of samples]]," ")</f>
        <v>7.5229357798165142E-2</v>
      </c>
      <c r="AF20" s="99">
        <f>IFERROR(_xlfn.XLOOKUP(BinEksp[[#This Row],[Dataset (.h5)]],Datasett[Datasett (.h5)],Datasett[3 OCD]," ")/BinEksp[[#This Row],[Number of samples]]," ")</f>
        <v>7.3394495412844041E-3</v>
      </c>
      <c r="AG20" s="99">
        <f>IFERROR(_xlfn.XLOOKUP(BinEksp[[#This Row],[Dataset (.h5)]],Datasett[Datasett (.h5)],Datasett[3 UAP]," ")/BinEksp[[#This Row],[Number of samples]]," ")</f>
        <v>1.1009174311926606E-2</v>
      </c>
      <c r="AH20" s="101">
        <f>SUM(BinEksp[[#This Row],[1 artrose/ sklerose]:[3 UAP]])</f>
        <v>0.54128440366972475</v>
      </c>
      <c r="AI20" s="115" t="str">
        <f>_xlfn.TEXTJOIN("_",TRUE,BinEksp[[#This Row],[Kompleksitet]],BinEksp[[#This Row],[Læringsrate]],IF(BinEksp[[#This Row],[Augmentering]]="ja","aug",""),IF(BinEksp[[#This Row],[Validering]]="ja","flip",""))</f>
        <v>B3_0.00005</v>
      </c>
      <c r="AJ20" s="99" t="s">
        <v>340</v>
      </c>
      <c r="AK20" s="99" t="str">
        <f>_xlfn.TEXTJOIN("_",TRUE,BinEksp[[#This Row],[Kompleksitet]],BinEksp[[#This Row],[Læringsrate]],IF(BinEksp[[#This Row],[Augmentering]]="ja","aug",""))</f>
        <v>B3_0.00005</v>
      </c>
      <c r="AL20" s="99" t="str">
        <f>_xlfn.TEXTJOIN("",TRUE,BinEksp[[#This Row],[Kompleksitet]],IF(BinEksp[[#This Row],[Augmentering]]="Ja","B","A"))</f>
        <v>B3A</v>
      </c>
    </row>
    <row r="21" spans="1:38" ht="60">
      <c r="A21" s="96">
        <v>11819756</v>
      </c>
      <c r="B21" s="97" t="s">
        <v>248</v>
      </c>
      <c r="C21" s="103"/>
      <c r="D21" s="96" t="s">
        <v>247</v>
      </c>
      <c r="E21" s="96" t="str">
        <f>_xlfn.TEXTJOIN("_",TRUE,BinEksp[[#This Row],[Kompleksitet]],BinEksp[[#This Row],[Dataset (.h5)]],_xlfn.TEXTJOIN("",TRUE,"bs",BinEksp[[#This Row],[Partistørrelse]]),BinEksp[[#This Row],[Læringsrate]],IF(BinEksp[[#This Row],[Augmentering]]="ja","aug",""),IF(BinEksp[[#This Row],[Validering]]="ja","flip",""))</f>
        <v>B4_640_normal_abnormal_2_bs16_0.0005</v>
      </c>
      <c r="F21" s="96" t="s">
        <v>57</v>
      </c>
      <c r="G21" s="96">
        <v>5.0000000000000001E-4</v>
      </c>
      <c r="H21" s="96" t="s">
        <v>208</v>
      </c>
      <c r="I21" s="96">
        <v>16</v>
      </c>
      <c r="J21" s="96" t="s">
        <v>208</v>
      </c>
      <c r="K21" s="96" t="s">
        <v>149</v>
      </c>
      <c r="L21" s="102">
        <v>8.1458333333333341E-2</v>
      </c>
      <c r="M21" s="96">
        <v>100</v>
      </c>
      <c r="N21" s="96">
        <v>32</v>
      </c>
      <c r="O21" s="100">
        <v>0.96228570000000002</v>
      </c>
      <c r="P21" s="100">
        <v>0.93382350000000003</v>
      </c>
      <c r="Q21" s="100">
        <v>0.86892051016039396</v>
      </c>
      <c r="R21" s="100">
        <v>0.93706293706293697</v>
      </c>
      <c r="S21" s="100">
        <v>0.93023255813953398</v>
      </c>
      <c r="T21" s="100">
        <v>0.94146929999999995</v>
      </c>
      <c r="U21" s="100">
        <v>0.89338240000000002</v>
      </c>
      <c r="V21" s="100">
        <v>0.788242773772309</v>
      </c>
      <c r="W21" s="100">
        <v>0.89824561403508696</v>
      </c>
      <c r="X21" s="100">
        <v>0.88803088803088803</v>
      </c>
      <c r="Y21" s="98">
        <f>_xlfn.XLOOKUP(BinEksp[[#This Row],[Dataset (.h5)]],Datasett[Datasett (.h5)],Datasett[total]," ")</f>
        <v>1090</v>
      </c>
      <c r="Z21" s="99">
        <f>IFERROR(_xlfn.XLOOKUP(BinEksp[[#This Row],[Dataset (.h5)]],Datasett[Datasett (.h5)],Datasett[Normale]," ")/BinEksp[[#This Row],[Number of samples]]," ")</f>
        <v>0.45871559633027525</v>
      </c>
      <c r="AA21" s="99">
        <f>IFERROR(_xlfn.XLOOKUP(BinEksp[[#This Row],[Dataset (.h5)]],Datasett[Datasett (.h5)],Datasett[1 artrose/sklerose]," ")/BinEksp[[#This Row],[Number of samples]]," ")</f>
        <v>0.23577981651376148</v>
      </c>
      <c r="AB21" s="99">
        <f>IFERROR(_xlfn.XLOOKUP(BinEksp[[#This Row],[Dataset (.h5)]],Datasett[Datasett (.h5)],Datasett[2 artrose]," ")/BinEksp[[#This Row],[Number of samples]]," ")</f>
        <v>0.11376146788990826</v>
      </c>
      <c r="AC21" s="99">
        <f>IFERROR(_xlfn.XLOOKUP(BinEksp[[#This Row],[Dataset (.h5)]],Datasett[Datasett (.h5)],Datasett[2 MCD]," ")/BinEksp[[#This Row],[Number of samples]]," ")</f>
        <v>4.8623853211009177E-2</v>
      </c>
      <c r="AD21" s="99">
        <f>IFERROR(_xlfn.XLOOKUP(BinEksp[[#This Row],[Dataset (.h5)]],Datasett[Datasett (.h5)],Datasett[3 artrose]," ")/BinEksp[[#This Row],[Number of samples]]," ")</f>
        <v>4.9541284403669728E-2</v>
      </c>
      <c r="AE21" s="99">
        <f>IFERROR(_xlfn.XLOOKUP(BinEksp[[#This Row],[Dataset (.h5)]],Datasett[Datasett (.h5)],Datasett[3 MCD]," ")/BinEksp[[#This Row],[Number of samples]]," ")</f>
        <v>7.5229357798165142E-2</v>
      </c>
      <c r="AF21" s="99">
        <f>IFERROR(_xlfn.XLOOKUP(BinEksp[[#This Row],[Dataset (.h5)]],Datasett[Datasett (.h5)],Datasett[3 OCD]," ")/BinEksp[[#This Row],[Number of samples]]," ")</f>
        <v>7.3394495412844041E-3</v>
      </c>
      <c r="AG21" s="99">
        <f>IFERROR(_xlfn.XLOOKUP(BinEksp[[#This Row],[Dataset (.h5)]],Datasett[Datasett (.h5)],Datasett[3 UAP]," ")/BinEksp[[#This Row],[Number of samples]]," ")</f>
        <v>1.1009174311926606E-2</v>
      </c>
      <c r="AH21" s="101">
        <f>SUM(BinEksp[[#This Row],[1 artrose/ sklerose]:[3 UAP]])</f>
        <v>0.54128440366972475</v>
      </c>
      <c r="AI21" s="115" t="str">
        <f>_xlfn.TEXTJOIN("_",TRUE,BinEksp[[#This Row],[Kompleksitet]],BinEksp[[#This Row],[Læringsrate]],IF(BinEksp[[#This Row],[Augmentering]]="ja","aug",""),IF(BinEksp[[#This Row],[Validering]]="ja","flip",""))</f>
        <v>B4_0.0005</v>
      </c>
      <c r="AJ21" s="99" t="s">
        <v>340</v>
      </c>
      <c r="AK21" s="99" t="str">
        <f>_xlfn.TEXTJOIN("_",TRUE,BinEksp[[#This Row],[Kompleksitet]],BinEksp[[#This Row],[Læringsrate]],IF(BinEksp[[#This Row],[Augmentering]]="ja","aug",""))</f>
        <v>B4_0.0005</v>
      </c>
      <c r="AL21" s="99" t="str">
        <f>_xlfn.TEXTJOIN("",TRUE,BinEksp[[#This Row],[Kompleksitet]],IF(BinEksp[[#This Row],[Augmentering]]="Ja","B","A"))</f>
        <v>B4A</v>
      </c>
    </row>
    <row r="22" spans="1:38" ht="60">
      <c r="A22" s="96">
        <v>11819832</v>
      </c>
      <c r="B22" s="97" t="s">
        <v>249</v>
      </c>
      <c r="C22" s="103"/>
      <c r="D22" s="96" t="s">
        <v>247</v>
      </c>
      <c r="E22" s="96" t="str">
        <f>_xlfn.TEXTJOIN("_",TRUE,BinEksp[[#This Row],[Kompleksitet]],BinEksp[[#This Row],[Dataset (.h5)]],_xlfn.TEXTJOIN("",TRUE,"bs",BinEksp[[#This Row],[Partistørrelse]]),BinEksp[[#This Row],[Læringsrate]],IF(BinEksp[[#This Row],[Augmentering]]="ja","aug",""),IF(BinEksp[[#This Row],[Validering]]="ja","flip",""))</f>
        <v>B3_640_normal_abnormal_2_bs16_0.0005</v>
      </c>
      <c r="F22" s="96" t="s">
        <v>30</v>
      </c>
      <c r="G22" s="96">
        <v>5.0000000000000001E-4</v>
      </c>
      <c r="H22" s="96" t="s">
        <v>208</v>
      </c>
      <c r="I22" s="96">
        <v>16</v>
      </c>
      <c r="J22" s="96" t="s">
        <v>208</v>
      </c>
      <c r="K22" s="96" t="s">
        <v>149</v>
      </c>
      <c r="L22" s="102">
        <v>6.4571759259259259E-2</v>
      </c>
      <c r="M22" s="96">
        <v>100</v>
      </c>
      <c r="N22" s="96">
        <v>58</v>
      </c>
      <c r="O22" s="100">
        <v>0.95768699999999995</v>
      </c>
      <c r="P22" s="100">
        <v>0.91176469999999998</v>
      </c>
      <c r="Q22" s="100">
        <v>0.82822801046508998</v>
      </c>
      <c r="R22" s="100">
        <v>0.91428571428571404</v>
      </c>
      <c r="S22" s="100">
        <v>0.90909090909090895</v>
      </c>
      <c r="T22" s="100">
        <v>0.92217684</v>
      </c>
      <c r="U22" s="100">
        <v>0.84926469999999998</v>
      </c>
      <c r="V22" s="100">
        <v>0.71534010732592301</v>
      </c>
      <c r="W22" s="100">
        <v>0.84644194756554303</v>
      </c>
      <c r="X22" s="100">
        <v>0.85198555956678701</v>
      </c>
      <c r="Y22" s="98">
        <f>_xlfn.XLOOKUP(BinEksp[[#This Row],[Dataset (.h5)]],Datasett[Datasett (.h5)],Datasett[total]," ")</f>
        <v>1090</v>
      </c>
      <c r="Z22" s="99">
        <f>IFERROR(_xlfn.XLOOKUP(BinEksp[[#This Row],[Dataset (.h5)]],Datasett[Datasett (.h5)],Datasett[Normale]," ")/BinEksp[[#This Row],[Number of samples]]," ")</f>
        <v>0.45871559633027525</v>
      </c>
      <c r="AA22" s="99">
        <f>IFERROR(_xlfn.XLOOKUP(BinEksp[[#This Row],[Dataset (.h5)]],Datasett[Datasett (.h5)],Datasett[1 artrose/sklerose]," ")/BinEksp[[#This Row],[Number of samples]]," ")</f>
        <v>0.23577981651376148</v>
      </c>
      <c r="AB22" s="99">
        <f>IFERROR(_xlfn.XLOOKUP(BinEksp[[#This Row],[Dataset (.h5)]],Datasett[Datasett (.h5)],Datasett[2 artrose]," ")/BinEksp[[#This Row],[Number of samples]]," ")</f>
        <v>0.11376146788990826</v>
      </c>
      <c r="AC22" s="99">
        <f>IFERROR(_xlfn.XLOOKUP(BinEksp[[#This Row],[Dataset (.h5)]],Datasett[Datasett (.h5)],Datasett[2 MCD]," ")/BinEksp[[#This Row],[Number of samples]]," ")</f>
        <v>4.8623853211009177E-2</v>
      </c>
      <c r="AD22" s="99">
        <f>IFERROR(_xlfn.XLOOKUP(BinEksp[[#This Row],[Dataset (.h5)]],Datasett[Datasett (.h5)],Datasett[3 artrose]," ")/BinEksp[[#This Row],[Number of samples]]," ")</f>
        <v>4.9541284403669728E-2</v>
      </c>
      <c r="AE22" s="99">
        <f>IFERROR(_xlfn.XLOOKUP(BinEksp[[#This Row],[Dataset (.h5)]],Datasett[Datasett (.h5)],Datasett[3 MCD]," ")/BinEksp[[#This Row],[Number of samples]]," ")</f>
        <v>7.5229357798165142E-2</v>
      </c>
      <c r="AF22" s="99">
        <f>IFERROR(_xlfn.XLOOKUP(BinEksp[[#This Row],[Dataset (.h5)]],Datasett[Datasett (.h5)],Datasett[3 OCD]," ")/BinEksp[[#This Row],[Number of samples]]," ")</f>
        <v>7.3394495412844041E-3</v>
      </c>
      <c r="AG22" s="99">
        <f>IFERROR(_xlfn.XLOOKUP(BinEksp[[#This Row],[Dataset (.h5)]],Datasett[Datasett (.h5)],Datasett[3 UAP]," ")/BinEksp[[#This Row],[Number of samples]]," ")</f>
        <v>1.1009174311926606E-2</v>
      </c>
      <c r="AH22" s="101">
        <f>SUM(BinEksp[[#This Row],[1 artrose/ sklerose]:[3 UAP]])</f>
        <v>0.54128440366972475</v>
      </c>
      <c r="AI22" s="115" t="str">
        <f>_xlfn.TEXTJOIN("_",TRUE,BinEksp[[#This Row],[Kompleksitet]],BinEksp[[#This Row],[Læringsrate]],IF(BinEksp[[#This Row],[Augmentering]]="ja","aug",""),IF(BinEksp[[#This Row],[Validering]]="ja","flip",""))</f>
        <v>B3_0.0005</v>
      </c>
      <c r="AJ22" s="99" t="s">
        <v>340</v>
      </c>
      <c r="AK22" s="99" t="str">
        <f>_xlfn.TEXTJOIN("_",TRUE,BinEksp[[#This Row],[Kompleksitet]],BinEksp[[#This Row],[Læringsrate]],IF(BinEksp[[#This Row],[Augmentering]]="ja","aug",""))</f>
        <v>B3_0.0005</v>
      </c>
      <c r="AL22" s="99" t="str">
        <f>_xlfn.TEXTJOIN("",TRUE,BinEksp[[#This Row],[Kompleksitet]],IF(BinEksp[[#This Row],[Augmentering]]="Ja","B","A"))</f>
        <v>B3A</v>
      </c>
    </row>
    <row r="23" spans="1:38" ht="45">
      <c r="A23" s="96">
        <v>11820996</v>
      </c>
      <c r="B23" s="97" t="s">
        <v>250</v>
      </c>
      <c r="C23" s="103"/>
      <c r="D23" s="96" t="s">
        <v>244</v>
      </c>
      <c r="E23" s="96" t="str">
        <f>_xlfn.TEXTJOIN("_",TRUE,BinEksp[[#This Row],[Kompleksitet]],BinEksp[[#This Row],[Dataset (.h5)]],_xlfn.TEXTJOIN("",TRUE,"bs",BinEksp[[#This Row],[Partistørrelse]]),BinEksp[[#This Row],[Læringsrate]],IF(BinEksp[[#This Row],[Augmentering]]="ja","aug",""),IF(BinEksp[[#This Row],[Validering]]="ja","flip",""))</f>
        <v>B2_1280_normal_abnormal_2_bs8_0.0005</v>
      </c>
      <c r="F23" s="96" t="s">
        <v>25</v>
      </c>
      <c r="G23" s="96">
        <v>5.0000000000000001E-4</v>
      </c>
      <c r="H23" s="96" t="s">
        <v>208</v>
      </c>
      <c r="I23" s="96">
        <v>8</v>
      </c>
      <c r="J23" s="96" t="s">
        <v>208</v>
      </c>
      <c r="K23" s="96" t="s">
        <v>149</v>
      </c>
      <c r="L23" s="102">
        <v>0.11340277777777778</v>
      </c>
      <c r="M23" s="96">
        <v>50</v>
      </c>
      <c r="N23" s="96">
        <v>47</v>
      </c>
      <c r="O23" s="100">
        <v>0.9024489</v>
      </c>
      <c r="P23" s="100">
        <v>0.82352939999999997</v>
      </c>
      <c r="Q23" s="100">
        <v>0.644749234460264</v>
      </c>
      <c r="R23" s="100">
        <v>0.84313725490196001</v>
      </c>
      <c r="S23" s="100">
        <v>0.79831932773109204</v>
      </c>
      <c r="T23" s="100">
        <v>0.93292516000000003</v>
      </c>
      <c r="U23" s="100">
        <v>0.89338240000000002</v>
      </c>
      <c r="V23" s="100">
        <v>0.78935089151274895</v>
      </c>
      <c r="W23" s="100">
        <v>0.89752650176678395</v>
      </c>
      <c r="X23" s="100">
        <v>0.88888888888888895</v>
      </c>
      <c r="Y23" s="98">
        <f>_xlfn.XLOOKUP(BinEksp[[#This Row],[Dataset (.h5)]],Datasett[Datasett (.h5)],Datasett[total]," ")</f>
        <v>1090</v>
      </c>
      <c r="Z23" s="99">
        <f>IFERROR(_xlfn.XLOOKUP(BinEksp[[#This Row],[Dataset (.h5)]],Datasett[Datasett (.h5)],Datasett[Normale]," ")/BinEksp[[#This Row],[Number of samples]]," ")</f>
        <v>0.45871559633027525</v>
      </c>
      <c r="AA23" s="99">
        <f>IFERROR(_xlfn.XLOOKUP(BinEksp[[#This Row],[Dataset (.h5)]],Datasett[Datasett (.h5)],Datasett[1 artrose/sklerose]," ")/BinEksp[[#This Row],[Number of samples]]," ")</f>
        <v>0.23577981651376148</v>
      </c>
      <c r="AB23" s="99">
        <f>IFERROR(_xlfn.XLOOKUP(BinEksp[[#This Row],[Dataset (.h5)]],Datasett[Datasett (.h5)],Datasett[2 artrose]," ")/BinEksp[[#This Row],[Number of samples]]," ")</f>
        <v>0.11376146788990826</v>
      </c>
      <c r="AC23" s="99">
        <f>IFERROR(_xlfn.XLOOKUP(BinEksp[[#This Row],[Dataset (.h5)]],Datasett[Datasett (.h5)],Datasett[2 MCD]," ")/BinEksp[[#This Row],[Number of samples]]," ")</f>
        <v>4.8623853211009177E-2</v>
      </c>
      <c r="AD23" s="99">
        <f>IFERROR(_xlfn.XLOOKUP(BinEksp[[#This Row],[Dataset (.h5)]],Datasett[Datasett (.h5)],Datasett[3 artrose]," ")/BinEksp[[#This Row],[Number of samples]]," ")</f>
        <v>4.9541284403669728E-2</v>
      </c>
      <c r="AE23" s="99">
        <f>IFERROR(_xlfn.XLOOKUP(BinEksp[[#This Row],[Dataset (.h5)]],Datasett[Datasett (.h5)],Datasett[3 MCD]," ")/BinEksp[[#This Row],[Number of samples]]," ")</f>
        <v>7.5229357798165142E-2</v>
      </c>
      <c r="AF23" s="99">
        <f>IFERROR(_xlfn.XLOOKUP(BinEksp[[#This Row],[Dataset (.h5)]],Datasett[Datasett (.h5)],Datasett[3 OCD]," ")/BinEksp[[#This Row],[Number of samples]]," ")</f>
        <v>7.3394495412844041E-3</v>
      </c>
      <c r="AG23" s="99">
        <f>IFERROR(_xlfn.XLOOKUP(BinEksp[[#This Row],[Dataset (.h5)]],Datasett[Datasett (.h5)],Datasett[3 UAP]," ")/BinEksp[[#This Row],[Number of samples]]," ")</f>
        <v>1.1009174311926606E-2</v>
      </c>
      <c r="AH23" s="101">
        <f>SUM(BinEksp[[#This Row],[1 artrose/ sklerose]:[3 UAP]])</f>
        <v>0.54128440366972475</v>
      </c>
      <c r="AI23" s="115" t="str">
        <f>_xlfn.TEXTJOIN("_",TRUE,BinEksp[[#This Row],[Kompleksitet]],BinEksp[[#This Row],[Læringsrate]],IF(BinEksp[[#This Row],[Augmentering]]="ja","aug",""),IF(BinEksp[[#This Row],[Validering]]="ja","flip",""))</f>
        <v>B2_0.0005</v>
      </c>
      <c r="AJ23" s="99" t="s">
        <v>340</v>
      </c>
      <c r="AK23" s="99" t="str">
        <f>_xlfn.TEXTJOIN("_",TRUE,BinEksp[[#This Row],[Kompleksitet]],BinEksp[[#This Row],[Læringsrate]],IF(BinEksp[[#This Row],[Augmentering]]="ja","aug",""))</f>
        <v>B2_0.0005</v>
      </c>
      <c r="AL23" s="99" t="str">
        <f>_xlfn.TEXTJOIN("",TRUE,BinEksp[[#This Row],[Kompleksitet]],IF(BinEksp[[#This Row],[Augmentering]]="Ja","B","A"))</f>
        <v>B2A</v>
      </c>
    </row>
    <row r="24" spans="1:38" ht="60">
      <c r="A24" s="96">
        <v>11821091</v>
      </c>
      <c r="B24" s="97" t="s">
        <v>252</v>
      </c>
      <c r="C24" s="103"/>
      <c r="D24" s="96" t="s">
        <v>247</v>
      </c>
      <c r="E24" s="96" t="str">
        <f>_xlfn.TEXTJOIN("_",TRUE,BinEksp[[#This Row],[Kompleksitet]],BinEksp[[#This Row],[Dataset (.h5)]],_xlfn.TEXTJOIN("",TRUE,"bs",BinEksp[[#This Row],[Partistørrelse]]),BinEksp[[#This Row],[Læringsrate]],IF(BinEksp[[#This Row],[Augmentering]]="ja","aug",""),IF(BinEksp[[#This Row],[Validering]]="ja","flip",""))</f>
        <v>B4_640_normal_abnormal_2_bs16_0.0005_aug</v>
      </c>
      <c r="F24" s="96" t="s">
        <v>57</v>
      </c>
      <c r="G24" s="96">
        <v>5.0000000000000001E-4</v>
      </c>
      <c r="H24" s="96" t="s">
        <v>209</v>
      </c>
      <c r="I24" s="96">
        <v>16</v>
      </c>
      <c r="J24" s="96" t="s">
        <v>208</v>
      </c>
      <c r="K24" s="96" t="s">
        <v>149</v>
      </c>
      <c r="L24" s="102">
        <v>9.8206018518518512E-2</v>
      </c>
      <c r="M24" s="96">
        <v>100</v>
      </c>
      <c r="N24" s="96">
        <v>74</v>
      </c>
      <c r="O24" s="100">
        <v>0.96065299999999998</v>
      </c>
      <c r="P24" s="100">
        <v>0.92279409999999995</v>
      </c>
      <c r="Q24" s="100">
        <v>0.84468688299389705</v>
      </c>
      <c r="R24" s="100">
        <v>0.92976588628762502</v>
      </c>
      <c r="S24" s="100">
        <v>0.91428571428571404</v>
      </c>
      <c r="T24" s="100">
        <v>0.95812240000000004</v>
      </c>
      <c r="U24" s="100">
        <v>0.90808820000000001</v>
      </c>
      <c r="V24" s="100">
        <v>0.81509898800144898</v>
      </c>
      <c r="W24" s="100">
        <v>0.91467576791808802</v>
      </c>
      <c r="X24" s="100">
        <v>0.90039840637450197</v>
      </c>
      <c r="Y24" s="98">
        <f>_xlfn.XLOOKUP(BinEksp[[#This Row],[Dataset (.h5)]],Datasett[Datasett (.h5)],Datasett[total]," ")</f>
        <v>1090</v>
      </c>
      <c r="Z24" s="99">
        <f>IFERROR(_xlfn.XLOOKUP(BinEksp[[#This Row],[Dataset (.h5)]],Datasett[Datasett (.h5)],Datasett[Normale]," ")/BinEksp[[#This Row],[Number of samples]]," ")</f>
        <v>0.45871559633027525</v>
      </c>
      <c r="AA24" s="99">
        <f>IFERROR(_xlfn.XLOOKUP(BinEksp[[#This Row],[Dataset (.h5)]],Datasett[Datasett (.h5)],Datasett[1 artrose/sklerose]," ")/BinEksp[[#This Row],[Number of samples]]," ")</f>
        <v>0.23577981651376148</v>
      </c>
      <c r="AB24" s="99">
        <f>IFERROR(_xlfn.XLOOKUP(BinEksp[[#This Row],[Dataset (.h5)]],Datasett[Datasett (.h5)],Datasett[2 artrose]," ")/BinEksp[[#This Row],[Number of samples]]," ")</f>
        <v>0.11376146788990826</v>
      </c>
      <c r="AC24" s="99">
        <f>IFERROR(_xlfn.XLOOKUP(BinEksp[[#This Row],[Dataset (.h5)]],Datasett[Datasett (.h5)],Datasett[2 MCD]," ")/BinEksp[[#This Row],[Number of samples]]," ")</f>
        <v>4.8623853211009177E-2</v>
      </c>
      <c r="AD24" s="99">
        <f>IFERROR(_xlfn.XLOOKUP(BinEksp[[#This Row],[Dataset (.h5)]],Datasett[Datasett (.h5)],Datasett[3 artrose]," ")/BinEksp[[#This Row],[Number of samples]]," ")</f>
        <v>4.9541284403669728E-2</v>
      </c>
      <c r="AE24" s="99">
        <f>IFERROR(_xlfn.XLOOKUP(BinEksp[[#This Row],[Dataset (.h5)]],Datasett[Datasett (.h5)],Datasett[3 MCD]," ")/BinEksp[[#This Row],[Number of samples]]," ")</f>
        <v>7.5229357798165142E-2</v>
      </c>
      <c r="AF24" s="99">
        <f>IFERROR(_xlfn.XLOOKUP(BinEksp[[#This Row],[Dataset (.h5)]],Datasett[Datasett (.h5)],Datasett[3 OCD]," ")/BinEksp[[#This Row],[Number of samples]]," ")</f>
        <v>7.3394495412844041E-3</v>
      </c>
      <c r="AG24" s="99">
        <f>IFERROR(_xlfn.XLOOKUP(BinEksp[[#This Row],[Dataset (.h5)]],Datasett[Datasett (.h5)],Datasett[3 UAP]," ")/BinEksp[[#This Row],[Number of samples]]," ")</f>
        <v>1.1009174311926606E-2</v>
      </c>
      <c r="AH24" s="101">
        <f>SUM(BinEksp[[#This Row],[1 artrose/ sklerose]:[3 UAP]])</f>
        <v>0.54128440366972475</v>
      </c>
      <c r="AI24" s="115" t="str">
        <f>_xlfn.TEXTJOIN("_",TRUE,BinEksp[[#This Row],[Kompleksitet]],BinEksp[[#This Row],[Læringsrate]],IF(BinEksp[[#This Row],[Augmentering]]="ja","aug",""),IF(BinEksp[[#This Row],[Validering]]="ja","flip",""))</f>
        <v>B4_0.0005_aug</v>
      </c>
      <c r="AJ24" s="99" t="s">
        <v>340</v>
      </c>
      <c r="AK24" s="99" t="str">
        <f>_xlfn.TEXTJOIN("_",TRUE,BinEksp[[#This Row],[Kompleksitet]],BinEksp[[#This Row],[Læringsrate]],IF(BinEksp[[#This Row],[Augmentering]]="ja","aug",""))</f>
        <v>B4_0.0005_aug</v>
      </c>
      <c r="AL24" s="99" t="str">
        <f>_xlfn.TEXTJOIN("",TRUE,BinEksp[[#This Row],[Kompleksitet]],IF(BinEksp[[#This Row],[Augmentering]]="Ja","B","A"))</f>
        <v>B4B</v>
      </c>
    </row>
    <row r="25" spans="1:38" ht="60">
      <c r="A25" s="96">
        <v>11821095</v>
      </c>
      <c r="B25" s="97" t="s">
        <v>253</v>
      </c>
      <c r="C25" s="103"/>
      <c r="D25" s="96" t="s">
        <v>247</v>
      </c>
      <c r="E25" s="96" t="str">
        <f>_xlfn.TEXTJOIN("_",TRUE,BinEksp[[#This Row],[Kompleksitet]],BinEksp[[#This Row],[Dataset (.h5)]],_xlfn.TEXTJOIN("",TRUE,"bs",BinEksp[[#This Row],[Partistørrelse]]),BinEksp[[#This Row],[Læringsrate]],IF(BinEksp[[#This Row],[Augmentering]]="ja","aug",""),IF(BinEksp[[#This Row],[Validering]]="ja","flip",""))</f>
        <v>B4_640_normal_abnormal_2_bs25_0.0005</v>
      </c>
      <c r="F25" s="96" t="s">
        <v>57</v>
      </c>
      <c r="G25" s="96">
        <v>5.0000000000000001E-4</v>
      </c>
      <c r="H25" s="96" t="s">
        <v>208</v>
      </c>
      <c r="I25" s="96">
        <v>25</v>
      </c>
      <c r="J25" s="96" t="s">
        <v>208</v>
      </c>
      <c r="K25" s="96" t="s">
        <v>149</v>
      </c>
      <c r="L25" s="102">
        <v>7.9490740740740737E-2</v>
      </c>
      <c r="M25" s="96">
        <v>100</v>
      </c>
      <c r="N25" s="96">
        <v>98</v>
      </c>
      <c r="O25" s="100">
        <v>0.94370069999999995</v>
      </c>
      <c r="P25" s="100">
        <v>0.90808820000000001</v>
      </c>
      <c r="Q25" s="100">
        <v>0.81682599850974702</v>
      </c>
      <c r="R25" s="100">
        <v>0.91289198606271704</v>
      </c>
      <c r="S25" s="100">
        <v>0.90272373540855999</v>
      </c>
      <c r="T25" s="100">
        <v>0.94919723</v>
      </c>
      <c r="U25" s="100">
        <v>0.88235295000000002</v>
      </c>
      <c r="V25" s="100">
        <v>0.774286948543223</v>
      </c>
      <c r="W25" s="100">
        <v>0.88321167883211604</v>
      </c>
      <c r="X25" s="100">
        <v>0.88148148148148098</v>
      </c>
      <c r="Y25" s="98">
        <f>_xlfn.XLOOKUP(BinEksp[[#This Row],[Dataset (.h5)]],Datasett[Datasett (.h5)],Datasett[total]," ")</f>
        <v>1090</v>
      </c>
      <c r="Z25" s="99">
        <f>IFERROR(_xlfn.XLOOKUP(BinEksp[[#This Row],[Dataset (.h5)]],Datasett[Datasett (.h5)],Datasett[Normale]," ")/BinEksp[[#This Row],[Number of samples]]," ")</f>
        <v>0.45871559633027525</v>
      </c>
      <c r="AA25" s="99">
        <f>IFERROR(_xlfn.XLOOKUP(BinEksp[[#This Row],[Dataset (.h5)]],Datasett[Datasett (.h5)],Datasett[1 artrose/sklerose]," ")/BinEksp[[#This Row],[Number of samples]]," ")</f>
        <v>0.23577981651376148</v>
      </c>
      <c r="AB25" s="99">
        <f>IFERROR(_xlfn.XLOOKUP(BinEksp[[#This Row],[Dataset (.h5)]],Datasett[Datasett (.h5)],Datasett[2 artrose]," ")/BinEksp[[#This Row],[Number of samples]]," ")</f>
        <v>0.11376146788990826</v>
      </c>
      <c r="AC25" s="99">
        <f>IFERROR(_xlfn.XLOOKUP(BinEksp[[#This Row],[Dataset (.h5)]],Datasett[Datasett (.h5)],Datasett[2 MCD]," ")/BinEksp[[#This Row],[Number of samples]]," ")</f>
        <v>4.8623853211009177E-2</v>
      </c>
      <c r="AD25" s="99">
        <f>IFERROR(_xlfn.XLOOKUP(BinEksp[[#This Row],[Dataset (.h5)]],Datasett[Datasett (.h5)],Datasett[3 artrose]," ")/BinEksp[[#This Row],[Number of samples]]," ")</f>
        <v>4.9541284403669728E-2</v>
      </c>
      <c r="AE25" s="99">
        <f>IFERROR(_xlfn.XLOOKUP(BinEksp[[#This Row],[Dataset (.h5)]],Datasett[Datasett (.h5)],Datasett[3 MCD]," ")/BinEksp[[#This Row],[Number of samples]]," ")</f>
        <v>7.5229357798165142E-2</v>
      </c>
      <c r="AF25" s="99">
        <f>IFERROR(_xlfn.XLOOKUP(BinEksp[[#This Row],[Dataset (.h5)]],Datasett[Datasett (.h5)],Datasett[3 OCD]," ")/BinEksp[[#This Row],[Number of samples]]," ")</f>
        <v>7.3394495412844041E-3</v>
      </c>
      <c r="AG25" s="99">
        <f>IFERROR(_xlfn.XLOOKUP(BinEksp[[#This Row],[Dataset (.h5)]],Datasett[Datasett (.h5)],Datasett[3 UAP]," ")/BinEksp[[#This Row],[Number of samples]]," ")</f>
        <v>1.1009174311926606E-2</v>
      </c>
      <c r="AH25" s="101">
        <f>SUM(BinEksp[[#This Row],[1 artrose/ sklerose]:[3 UAP]])</f>
        <v>0.54128440366972475</v>
      </c>
      <c r="AI25" s="115" t="str">
        <f>_xlfn.TEXTJOIN("_",TRUE,BinEksp[[#This Row],[Kompleksitet]],BinEksp[[#This Row],[Læringsrate]],IF(BinEksp[[#This Row],[Augmentering]]="ja","aug",""),IF(BinEksp[[#This Row],[Validering]]="ja","flip",""))</f>
        <v>B4_0.0005</v>
      </c>
      <c r="AJ25" s="99" t="s">
        <v>340</v>
      </c>
      <c r="AK25" s="99" t="str">
        <f>_xlfn.TEXTJOIN("_",TRUE,BinEksp[[#This Row],[Kompleksitet]],BinEksp[[#This Row],[Læringsrate]],IF(BinEksp[[#This Row],[Augmentering]]="ja","aug",""))</f>
        <v>B4_0.0005</v>
      </c>
      <c r="AL25" s="99" t="str">
        <f>_xlfn.TEXTJOIN("",TRUE,BinEksp[[#This Row],[Kompleksitet]],IF(BinEksp[[#This Row],[Augmentering]]="Ja","B","A"))</f>
        <v>B4A</v>
      </c>
    </row>
    <row r="26" spans="1:38" ht="45">
      <c r="A26" s="96">
        <v>11821233</v>
      </c>
      <c r="B26" s="97" t="s">
        <v>251</v>
      </c>
      <c r="C26" s="104"/>
      <c r="D26" s="96" t="s">
        <v>244</v>
      </c>
      <c r="E26" s="96" t="str">
        <f>_xlfn.TEXTJOIN("_",TRUE,BinEksp[[#This Row],[Kompleksitet]],BinEksp[[#This Row],[Dataset (.h5)]],_xlfn.TEXTJOIN("",TRUE,"bs",BinEksp[[#This Row],[Partistørrelse]]),BinEksp[[#This Row],[Læringsrate]],IF(BinEksp[[#This Row],[Augmentering]]="ja","aug",""),IF(BinEksp[[#This Row],[Validering]]="ja","flip",""))</f>
        <v>B2_1280_normal_abnormal_2_bs8_0.0005_aug</v>
      </c>
      <c r="F26" s="96" t="s">
        <v>25</v>
      </c>
      <c r="G26" s="96">
        <v>5.0000000000000001E-4</v>
      </c>
      <c r="H26" s="96" t="s">
        <v>209</v>
      </c>
      <c r="I26" s="96">
        <v>8</v>
      </c>
      <c r="J26" s="96" t="s">
        <v>208</v>
      </c>
      <c r="K26" s="96" t="s">
        <v>149</v>
      </c>
      <c r="L26" s="102">
        <v>0.1670949074074074</v>
      </c>
      <c r="M26" s="96">
        <v>50</v>
      </c>
      <c r="N26" s="96">
        <v>40</v>
      </c>
      <c r="O26" s="100">
        <v>0.95521075</v>
      </c>
      <c r="P26" s="100">
        <v>0.93014704999999998</v>
      </c>
      <c r="Q26" s="100">
        <v>0.85983747519461795</v>
      </c>
      <c r="R26" s="100">
        <v>0.93470790378006796</v>
      </c>
      <c r="S26" s="100">
        <v>0.92490118577075098</v>
      </c>
      <c r="T26" s="100">
        <v>0.95850336999999997</v>
      </c>
      <c r="U26" s="100">
        <v>0.89705884000000002</v>
      </c>
      <c r="V26" s="100">
        <v>0.79309641875286696</v>
      </c>
      <c r="W26" s="100">
        <v>0.90410958904109495</v>
      </c>
      <c r="X26" s="100">
        <v>0.88888888888888795</v>
      </c>
      <c r="Y26" s="98">
        <f>_xlfn.XLOOKUP(BinEksp[[#This Row],[Dataset (.h5)]],Datasett[Datasett (.h5)],Datasett[total]," ")</f>
        <v>1090</v>
      </c>
      <c r="Z26" s="99">
        <f>IFERROR(_xlfn.XLOOKUP(BinEksp[[#This Row],[Dataset (.h5)]],Datasett[Datasett (.h5)],Datasett[Normale]," ")/BinEksp[[#This Row],[Number of samples]]," ")</f>
        <v>0.45871559633027525</v>
      </c>
      <c r="AA26" s="99">
        <f>IFERROR(_xlfn.XLOOKUP(BinEksp[[#This Row],[Dataset (.h5)]],Datasett[Datasett (.h5)],Datasett[1 artrose/sklerose]," ")/BinEksp[[#This Row],[Number of samples]]," ")</f>
        <v>0.23577981651376148</v>
      </c>
      <c r="AB26" s="99">
        <f>IFERROR(_xlfn.XLOOKUP(BinEksp[[#This Row],[Dataset (.h5)]],Datasett[Datasett (.h5)],Datasett[2 artrose]," ")/BinEksp[[#This Row],[Number of samples]]," ")</f>
        <v>0.11376146788990826</v>
      </c>
      <c r="AC26" s="99">
        <f>IFERROR(_xlfn.XLOOKUP(BinEksp[[#This Row],[Dataset (.h5)]],Datasett[Datasett (.h5)],Datasett[2 MCD]," ")/BinEksp[[#This Row],[Number of samples]]," ")</f>
        <v>4.8623853211009177E-2</v>
      </c>
      <c r="AD26" s="99">
        <f>IFERROR(_xlfn.XLOOKUP(BinEksp[[#This Row],[Dataset (.h5)]],Datasett[Datasett (.h5)],Datasett[3 artrose]," ")/BinEksp[[#This Row],[Number of samples]]," ")</f>
        <v>4.9541284403669728E-2</v>
      </c>
      <c r="AE26" s="99">
        <f>IFERROR(_xlfn.XLOOKUP(BinEksp[[#This Row],[Dataset (.h5)]],Datasett[Datasett (.h5)],Datasett[3 MCD]," ")/BinEksp[[#This Row],[Number of samples]]," ")</f>
        <v>7.5229357798165142E-2</v>
      </c>
      <c r="AF26" s="99">
        <f>IFERROR(_xlfn.XLOOKUP(BinEksp[[#This Row],[Dataset (.h5)]],Datasett[Datasett (.h5)],Datasett[3 OCD]," ")/BinEksp[[#This Row],[Number of samples]]," ")</f>
        <v>7.3394495412844041E-3</v>
      </c>
      <c r="AG26" s="99">
        <f>IFERROR(_xlfn.XLOOKUP(BinEksp[[#This Row],[Dataset (.h5)]],Datasett[Datasett (.h5)],Datasett[3 UAP]," ")/BinEksp[[#This Row],[Number of samples]]," ")</f>
        <v>1.1009174311926606E-2</v>
      </c>
      <c r="AH26" s="101">
        <f>SUM(BinEksp[[#This Row],[1 artrose/ sklerose]:[3 UAP]])</f>
        <v>0.54128440366972475</v>
      </c>
      <c r="AI26" s="115" t="str">
        <f>_xlfn.TEXTJOIN("_",TRUE,BinEksp[[#This Row],[Kompleksitet]],BinEksp[[#This Row],[Læringsrate]],IF(BinEksp[[#This Row],[Augmentering]]="ja","aug",""),IF(BinEksp[[#This Row],[Validering]]="ja","flip",""))</f>
        <v>B2_0.0005_aug</v>
      </c>
      <c r="AJ26" s="99" t="s">
        <v>340</v>
      </c>
      <c r="AK26" s="99" t="str">
        <f>_xlfn.TEXTJOIN("_",TRUE,BinEksp[[#This Row],[Kompleksitet]],BinEksp[[#This Row],[Læringsrate]],IF(BinEksp[[#This Row],[Augmentering]]="ja","aug",""))</f>
        <v>B2_0.0005_aug</v>
      </c>
      <c r="AL26" s="99" t="str">
        <f>_xlfn.TEXTJOIN("",TRUE,BinEksp[[#This Row],[Kompleksitet]],IF(BinEksp[[#This Row],[Augmentering]]="Ja","B","A"))</f>
        <v>B2B</v>
      </c>
    </row>
    <row r="27" spans="1:38" ht="45">
      <c r="A27" s="96">
        <v>11821272</v>
      </c>
      <c r="B27" s="97" t="s">
        <v>281</v>
      </c>
      <c r="C27" s="103" t="s">
        <v>282</v>
      </c>
      <c r="D27" s="96" t="s">
        <v>247</v>
      </c>
      <c r="E27" s="96" t="str">
        <f>_xlfn.TEXTJOIN("_",TRUE,BinEksp[[#This Row],[Kompleksitet]],BinEksp[[#This Row],[Dataset (.h5)]],_xlfn.TEXTJOIN("",TRUE,"bs",BinEksp[[#This Row],[Partistørrelse]]),BinEksp[[#This Row],[Læringsrate]],IF(BinEksp[[#This Row],[Augmentering]]="ja","aug",""),IF(BinEksp[[#This Row],[Validering]]="ja","flip",""))</f>
        <v>B3_640_normal_abnormal_2_bs30_0.001</v>
      </c>
      <c r="F27" s="96" t="s">
        <v>30</v>
      </c>
      <c r="G27" s="96">
        <v>1E-3</v>
      </c>
      <c r="H27" s="96" t="s">
        <v>208</v>
      </c>
      <c r="I27" s="96">
        <v>30</v>
      </c>
      <c r="J27" s="96" t="s">
        <v>208</v>
      </c>
      <c r="K27" s="96" t="s">
        <v>149</v>
      </c>
      <c r="L27" s="102">
        <v>4.6817129629629632E-2</v>
      </c>
      <c r="M27" s="96">
        <v>70</v>
      </c>
      <c r="N27" s="96">
        <v>23</v>
      </c>
      <c r="O27" s="100">
        <v>0.92043540000000001</v>
      </c>
      <c r="P27" s="100">
        <v>0.86764704999999998</v>
      </c>
      <c r="Q27" s="100">
        <v>0.73394987659074995</v>
      </c>
      <c r="R27" s="100">
        <v>0.87671232876712302</v>
      </c>
      <c r="S27" s="100">
        <v>0.85714285714285698</v>
      </c>
      <c r="T27" s="100">
        <v>0.89208160000000003</v>
      </c>
      <c r="U27" s="100">
        <v>0.80147060000000003</v>
      </c>
      <c r="V27" s="100">
        <v>0.61349659863945505</v>
      </c>
      <c r="W27" s="100">
        <v>0.80147058823529405</v>
      </c>
      <c r="X27" s="100">
        <v>0.80147058823529405</v>
      </c>
      <c r="Y27" s="98">
        <f>_xlfn.XLOOKUP(BinEksp[[#This Row],[Dataset (.h5)]],Datasett[Datasett (.h5)],Datasett[total]," ")</f>
        <v>1090</v>
      </c>
      <c r="Z27" s="99">
        <f>IFERROR(_xlfn.XLOOKUP(BinEksp[[#This Row],[Dataset (.h5)]],Datasett[Datasett (.h5)],Datasett[Normale]," ")/BinEksp[[#This Row],[Number of samples]]," ")</f>
        <v>0.45871559633027525</v>
      </c>
      <c r="AA27" s="99">
        <f>IFERROR(_xlfn.XLOOKUP(BinEksp[[#This Row],[Dataset (.h5)]],Datasett[Datasett (.h5)],Datasett[1 artrose/sklerose]," ")/BinEksp[[#This Row],[Number of samples]]," ")</f>
        <v>0.23577981651376148</v>
      </c>
      <c r="AB27" s="99">
        <f>IFERROR(_xlfn.XLOOKUP(BinEksp[[#This Row],[Dataset (.h5)]],Datasett[Datasett (.h5)],Datasett[2 artrose]," ")/BinEksp[[#This Row],[Number of samples]]," ")</f>
        <v>0.11376146788990826</v>
      </c>
      <c r="AC27" s="99">
        <f>IFERROR(_xlfn.XLOOKUP(BinEksp[[#This Row],[Dataset (.h5)]],Datasett[Datasett (.h5)],Datasett[2 MCD]," ")/BinEksp[[#This Row],[Number of samples]]," ")</f>
        <v>4.8623853211009177E-2</v>
      </c>
      <c r="AD27" s="99">
        <f>IFERROR(_xlfn.XLOOKUP(BinEksp[[#This Row],[Dataset (.h5)]],Datasett[Datasett (.h5)],Datasett[3 artrose]," ")/BinEksp[[#This Row],[Number of samples]]," ")</f>
        <v>4.9541284403669728E-2</v>
      </c>
      <c r="AE27" s="99">
        <f>IFERROR(_xlfn.XLOOKUP(BinEksp[[#This Row],[Dataset (.h5)]],Datasett[Datasett (.h5)],Datasett[3 MCD]," ")/BinEksp[[#This Row],[Number of samples]]," ")</f>
        <v>7.5229357798165142E-2</v>
      </c>
      <c r="AF27" s="99">
        <f>IFERROR(_xlfn.XLOOKUP(BinEksp[[#This Row],[Dataset (.h5)]],Datasett[Datasett (.h5)],Datasett[3 OCD]," ")/BinEksp[[#This Row],[Number of samples]]," ")</f>
        <v>7.3394495412844041E-3</v>
      </c>
      <c r="AG27" s="99">
        <f>IFERROR(_xlfn.XLOOKUP(BinEksp[[#This Row],[Dataset (.h5)]],Datasett[Datasett (.h5)],Datasett[3 UAP]," ")/BinEksp[[#This Row],[Number of samples]]," ")</f>
        <v>1.1009174311926606E-2</v>
      </c>
      <c r="AH27" s="101">
        <f>SUM(BinEksp[[#This Row],[1 artrose/ sklerose]:[3 UAP]])</f>
        <v>0.54128440366972475</v>
      </c>
      <c r="AI27" s="115" t="str">
        <f>_xlfn.TEXTJOIN("_",TRUE,BinEksp[[#This Row],[Kompleksitet]],BinEksp[[#This Row],[Læringsrate]],IF(BinEksp[[#This Row],[Augmentering]]="ja","aug",""),IF(BinEksp[[#This Row],[Validering]]="ja","flip",""))</f>
        <v>B3_0.001</v>
      </c>
      <c r="AJ27" s="99" t="s">
        <v>340</v>
      </c>
      <c r="AK27" s="99" t="str">
        <f>_xlfn.TEXTJOIN("_",TRUE,BinEksp[[#This Row],[Kompleksitet]],BinEksp[[#This Row],[Læringsrate]],IF(BinEksp[[#This Row],[Augmentering]]="ja","aug",""))</f>
        <v>B3_0.001</v>
      </c>
      <c r="AL27" s="99" t="str">
        <f>_xlfn.TEXTJOIN("",TRUE,BinEksp[[#This Row],[Kompleksitet]],IF(BinEksp[[#This Row],[Augmentering]]="Ja","B","A"))</f>
        <v>B3A</v>
      </c>
    </row>
    <row r="28" spans="1:38" ht="45">
      <c r="A28" s="96">
        <v>11821637</v>
      </c>
      <c r="B28" s="97" t="s">
        <v>285</v>
      </c>
      <c r="C28" s="103"/>
      <c r="D28" s="96" t="s">
        <v>244</v>
      </c>
      <c r="E28" s="96" t="str">
        <f>_xlfn.TEXTJOIN("_",TRUE,BinEksp[[#This Row],[Kompleksitet]],BinEksp[[#This Row],[Dataset (.h5)]],_xlfn.TEXTJOIN("",TRUE,"bs",BinEksp[[#This Row],[Partistørrelse]]),BinEksp[[#This Row],[Læringsrate]],IF(BinEksp[[#This Row],[Augmentering]]="ja","aug",""),IF(BinEksp[[#This Row],[Validering]]="ja","flip",""))</f>
        <v>B2_1280_normal_abnormal_2_bs8_0.001_aug</v>
      </c>
      <c r="F28" s="96" t="s">
        <v>25</v>
      </c>
      <c r="G28" s="96">
        <v>1E-3</v>
      </c>
      <c r="H28" s="96" t="s">
        <v>209</v>
      </c>
      <c r="I28" s="96">
        <v>8</v>
      </c>
      <c r="J28" s="96" t="s">
        <v>208</v>
      </c>
      <c r="K28" s="96" t="s">
        <v>149</v>
      </c>
      <c r="L28" s="102">
        <v>0.1627662037037037</v>
      </c>
      <c r="M28" s="96">
        <v>50</v>
      </c>
      <c r="N28" s="96">
        <v>50</v>
      </c>
      <c r="O28" s="100">
        <v>0.73994565000000001</v>
      </c>
      <c r="P28" s="100">
        <v>0.6875</v>
      </c>
      <c r="Q28" s="100">
        <v>0.37623266791729099</v>
      </c>
      <c r="R28" s="100">
        <v>0.69964664310953995</v>
      </c>
      <c r="S28" s="100">
        <v>0.67432950191570795</v>
      </c>
      <c r="T28" s="100">
        <v>0.70772796999999998</v>
      </c>
      <c r="U28" s="100">
        <v>0.67647060000000003</v>
      </c>
      <c r="V28" s="100">
        <v>0.36352273473469898</v>
      </c>
      <c r="W28" s="100">
        <v>0.67407407407407405</v>
      </c>
      <c r="X28" s="100">
        <v>0.678832116788321</v>
      </c>
      <c r="Y28" s="98">
        <f>_xlfn.XLOOKUP(BinEksp[[#This Row],[Dataset (.h5)]],Datasett[Datasett (.h5)],Datasett[total]," ")</f>
        <v>1090</v>
      </c>
      <c r="Z28" s="99">
        <f>IFERROR(_xlfn.XLOOKUP(BinEksp[[#This Row],[Dataset (.h5)]],Datasett[Datasett (.h5)],Datasett[Normale]," ")/BinEksp[[#This Row],[Number of samples]]," ")</f>
        <v>0.45871559633027525</v>
      </c>
      <c r="AA28" s="99">
        <f>IFERROR(_xlfn.XLOOKUP(BinEksp[[#This Row],[Dataset (.h5)]],Datasett[Datasett (.h5)],Datasett[1 artrose/sklerose]," ")/BinEksp[[#This Row],[Number of samples]]," ")</f>
        <v>0.23577981651376148</v>
      </c>
      <c r="AB28" s="99">
        <f>IFERROR(_xlfn.XLOOKUP(BinEksp[[#This Row],[Dataset (.h5)]],Datasett[Datasett (.h5)],Datasett[2 artrose]," ")/BinEksp[[#This Row],[Number of samples]]," ")</f>
        <v>0.11376146788990826</v>
      </c>
      <c r="AC28" s="99">
        <f>IFERROR(_xlfn.XLOOKUP(BinEksp[[#This Row],[Dataset (.h5)]],Datasett[Datasett (.h5)],Datasett[2 MCD]," ")/BinEksp[[#This Row],[Number of samples]]," ")</f>
        <v>4.8623853211009177E-2</v>
      </c>
      <c r="AD28" s="99">
        <f>IFERROR(_xlfn.XLOOKUP(BinEksp[[#This Row],[Dataset (.h5)]],Datasett[Datasett (.h5)],Datasett[3 artrose]," ")/BinEksp[[#This Row],[Number of samples]]," ")</f>
        <v>4.9541284403669728E-2</v>
      </c>
      <c r="AE28" s="99">
        <f>IFERROR(_xlfn.XLOOKUP(BinEksp[[#This Row],[Dataset (.h5)]],Datasett[Datasett (.h5)],Datasett[3 MCD]," ")/BinEksp[[#This Row],[Number of samples]]," ")</f>
        <v>7.5229357798165142E-2</v>
      </c>
      <c r="AF28" s="99">
        <f>IFERROR(_xlfn.XLOOKUP(BinEksp[[#This Row],[Dataset (.h5)]],Datasett[Datasett (.h5)],Datasett[3 OCD]," ")/BinEksp[[#This Row],[Number of samples]]," ")</f>
        <v>7.3394495412844041E-3</v>
      </c>
      <c r="AG28" s="99">
        <f>IFERROR(_xlfn.XLOOKUP(BinEksp[[#This Row],[Dataset (.h5)]],Datasett[Datasett (.h5)],Datasett[3 UAP]," ")/BinEksp[[#This Row],[Number of samples]]," ")</f>
        <v>1.1009174311926606E-2</v>
      </c>
      <c r="AH28" s="101">
        <f>SUM(BinEksp[[#This Row],[1 artrose/ sklerose]:[3 UAP]])</f>
        <v>0.54128440366972475</v>
      </c>
      <c r="AI28" s="115" t="str">
        <f>_xlfn.TEXTJOIN("_",TRUE,BinEksp[[#This Row],[Kompleksitet]],BinEksp[[#This Row],[Læringsrate]],IF(BinEksp[[#This Row],[Augmentering]]="ja","aug",""),IF(BinEksp[[#This Row],[Validering]]="ja","flip",""))</f>
        <v>B2_0.001_aug</v>
      </c>
      <c r="AJ28" s="99" t="s">
        <v>340</v>
      </c>
      <c r="AK28" s="99" t="str">
        <f>_xlfn.TEXTJOIN("_",TRUE,BinEksp[[#This Row],[Kompleksitet]],BinEksp[[#This Row],[Læringsrate]],IF(BinEksp[[#This Row],[Augmentering]]="ja","aug",""))</f>
        <v>B2_0.001_aug</v>
      </c>
      <c r="AL28" s="99" t="str">
        <f>_xlfn.TEXTJOIN("",TRUE,BinEksp[[#This Row],[Kompleksitet]],IF(BinEksp[[#This Row],[Augmentering]]="Ja","B","A"))</f>
        <v>B2B</v>
      </c>
    </row>
    <row r="29" spans="1:38" ht="30">
      <c r="A29" s="96">
        <v>11866903</v>
      </c>
      <c r="B29" s="97" t="s">
        <v>328</v>
      </c>
      <c r="C29" s="103" t="s">
        <v>330</v>
      </c>
      <c r="D29" s="96" t="s">
        <v>329</v>
      </c>
      <c r="E29" s="96" t="str">
        <f>_xlfn.TEXTJOIN("_",TRUE,BinEksp[[#This Row],[Kompleksitet]],BinEksp[[#This Row],[Dataset (.h5)]],_xlfn.TEXTJOIN("",TRUE,"bs",BinEksp[[#This Row],[Partistørrelse]]),BinEksp[[#This Row],[Læringsrate]],IF(BinEksp[[#This Row],[Augmentering]]="ja","aug",""),IF(BinEksp[[#This Row],[Validering]]="ja","flip",""))</f>
        <v>B4_800_ext_binary_2_bs8_0.0005_aug</v>
      </c>
      <c r="F29" s="96" t="s">
        <v>57</v>
      </c>
      <c r="G29" s="96">
        <v>5.0000000000000001E-4</v>
      </c>
      <c r="H29" s="96" t="s">
        <v>209</v>
      </c>
      <c r="I29" s="96">
        <v>8</v>
      </c>
      <c r="J29" s="96" t="s">
        <v>208</v>
      </c>
      <c r="K29" s="96" t="s">
        <v>149</v>
      </c>
      <c r="L29" s="102">
        <v>1.909722222222222E-2</v>
      </c>
      <c r="M29" s="96"/>
      <c r="N29" s="96"/>
      <c r="O29" s="100"/>
      <c r="P29" s="100"/>
      <c r="Q29" s="100"/>
      <c r="R29" s="100"/>
      <c r="S29" s="100"/>
      <c r="T29" s="100">
        <v>0.96117127000000002</v>
      </c>
      <c r="U29" s="100">
        <v>0.91295119999999996</v>
      </c>
      <c r="V29" s="100">
        <v>0.789530530079117</v>
      </c>
      <c r="W29" s="100">
        <v>0.93965263467765603</v>
      </c>
      <c r="X29" s="100">
        <v>0.84386900228484396</v>
      </c>
      <c r="Y29" s="98">
        <f>_xlfn.XLOOKUP(BinEksp[[#This Row],[Dataset (.h5)]],Datasett[Datasett (.h5)],Datasett[total]," ")</f>
        <v>2355</v>
      </c>
      <c r="Z29" s="99">
        <f>IFERROR(_xlfn.XLOOKUP(BinEksp[[#This Row],[Dataset (.h5)]],Datasett[Datasett (.h5)],Datasett[Normale]," ")/BinEksp[[#This Row],[Number of samples]]," ")</f>
        <v>0.25520169851380042</v>
      </c>
      <c r="AA29" s="99">
        <f>IFERROR(_xlfn.XLOOKUP(BinEksp[[#This Row],[Dataset (.h5)]],Datasett[Datasett (.h5)],Datasett[1 artrose/sklerose]," ")/BinEksp[[#This Row],[Number of samples]]," ")</f>
        <v>0.32696390658174096</v>
      </c>
      <c r="AB29" s="99">
        <f>IFERROR(_xlfn.XLOOKUP(BinEksp[[#This Row],[Dataset (.h5)]],Datasett[Datasett (.h5)],Datasett[2 artrose]," ")/BinEksp[[#This Row],[Number of samples]]," ")</f>
        <v>0.15753715498938428</v>
      </c>
      <c r="AC29" s="99">
        <f>IFERROR(_xlfn.XLOOKUP(BinEksp[[#This Row],[Dataset (.h5)]],Datasett[Datasett (.h5)],Datasett[2 MCD]," ")/BinEksp[[#This Row],[Number of samples]]," ")</f>
        <v>6.751592356687898E-2</v>
      </c>
      <c r="AD29" s="99">
        <f>IFERROR(_xlfn.XLOOKUP(BinEksp[[#This Row],[Dataset (.h5)]],Datasett[Datasett (.h5)],Datasett[3 artrose]," ")/BinEksp[[#This Row],[Number of samples]]," ")</f>
        <v>6.8789808917197451E-2</v>
      </c>
      <c r="AE29" s="99">
        <f>IFERROR(_xlfn.XLOOKUP(BinEksp[[#This Row],[Dataset (.h5)]],Datasett[Datasett (.h5)],Datasett[3 MCD]," ")/BinEksp[[#This Row],[Number of samples]]," ")</f>
        <v>0.10530785562632697</v>
      </c>
      <c r="AF29" s="99">
        <f>IFERROR(_xlfn.XLOOKUP(BinEksp[[#This Row],[Dataset (.h5)]],Datasett[Datasett (.h5)],Datasett[3 OCD]," ")/BinEksp[[#This Row],[Number of samples]]," ")</f>
        <v>3.397027600849257E-3</v>
      </c>
      <c r="AG29" s="99">
        <f>IFERROR(_xlfn.XLOOKUP(BinEksp[[#This Row],[Dataset (.h5)]],Datasett[Datasett (.h5)],Datasett[3 UAP]," ")/BinEksp[[#This Row],[Number of samples]]," ")</f>
        <v>1.5286624203821656E-2</v>
      </c>
      <c r="AH29" s="101">
        <f>SUM(BinEksp[[#This Row],[1 artrose/ sklerose]:[3 UAP]])</f>
        <v>0.74479830148619952</v>
      </c>
      <c r="AI29" s="115" t="str">
        <f>_xlfn.TEXTJOIN("_",TRUE,BinEksp[[#This Row],[Kompleksitet]],BinEksp[[#This Row],[Læringsrate]],IF(BinEksp[[#This Row],[Augmentering]]="ja","aug",""),IF(BinEksp[[#This Row],[Validering]]="ja","flip",""))</f>
        <v>B4_0.0005_aug</v>
      </c>
      <c r="AJ29" s="99" t="s">
        <v>371</v>
      </c>
      <c r="AK29" s="99" t="str">
        <f>_xlfn.TEXTJOIN("_",TRUE,BinEksp[[#This Row],[Kompleksitet]],BinEksp[[#This Row],[Læringsrate]],IF(BinEksp[[#This Row],[Augmentering]]="ja","aug",""))</f>
        <v>B4_0.0005_aug</v>
      </c>
      <c r="AL29" s="99" t="str">
        <f>_xlfn.TEXTJOIN("",TRUE,BinEksp[[#This Row],[Kompleksitet]],IF(BinEksp[[#This Row],[Augmentering]]="Ja","B","A"))</f>
        <v>B4B</v>
      </c>
    </row>
    <row r="30" spans="1:38" ht="30">
      <c r="A30" s="96">
        <v>11866971</v>
      </c>
      <c r="B30" s="97" t="s">
        <v>331</v>
      </c>
      <c r="C30" s="103" t="s">
        <v>330</v>
      </c>
      <c r="D30" s="96" t="s">
        <v>329</v>
      </c>
      <c r="E30" s="96" t="str">
        <f>_xlfn.TEXTJOIN("_",TRUE,BinEksp[[#This Row],[Kompleksitet]],BinEksp[[#This Row],[Dataset (.h5)]],_xlfn.TEXTJOIN("",TRUE,"bs",BinEksp[[#This Row],[Partistørrelse]]),BinEksp[[#This Row],[Læringsrate]],IF(BinEksp[[#This Row],[Augmentering]]="ja","aug",""),IF(BinEksp[[#This Row],[Validering]]="ja","flip",""))</f>
        <v>B3_800_ext_binary_2_bs16_0.0005</v>
      </c>
      <c r="F30" s="96" t="s">
        <v>30</v>
      </c>
      <c r="G30" s="96">
        <v>5.0000000000000001E-4</v>
      </c>
      <c r="H30" s="96" t="s">
        <v>208</v>
      </c>
      <c r="I30" s="96">
        <v>16</v>
      </c>
      <c r="J30" s="96" t="s">
        <v>208</v>
      </c>
      <c r="K30" s="96" t="s">
        <v>149</v>
      </c>
      <c r="L30" s="102">
        <v>1.1354166666666667E-2</v>
      </c>
      <c r="M30" s="96"/>
      <c r="N30" s="96"/>
      <c r="O30" s="100"/>
      <c r="P30" s="100"/>
      <c r="Q30" s="100"/>
      <c r="R30" s="100"/>
      <c r="S30" s="100"/>
      <c r="T30" s="100">
        <v>0.9483026</v>
      </c>
      <c r="U30" s="100">
        <v>0.88747346000000005</v>
      </c>
      <c r="V30" s="100">
        <v>0.73605904282395496</v>
      </c>
      <c r="W30" s="100">
        <v>0.92101341281669102</v>
      </c>
      <c r="X30" s="100">
        <v>0.80442804428044201</v>
      </c>
      <c r="Y30" s="98">
        <f>_xlfn.XLOOKUP(BinEksp[[#This Row],[Dataset (.h5)]],Datasett[Datasett (.h5)],Datasett[total]," ")</f>
        <v>2355</v>
      </c>
      <c r="Z30" s="99">
        <f>IFERROR(_xlfn.XLOOKUP(BinEksp[[#This Row],[Dataset (.h5)]],Datasett[Datasett (.h5)],Datasett[Normale]," ")/BinEksp[[#This Row],[Number of samples]]," ")</f>
        <v>0.25520169851380042</v>
      </c>
      <c r="AA30" s="99">
        <f>IFERROR(_xlfn.XLOOKUP(BinEksp[[#This Row],[Dataset (.h5)]],Datasett[Datasett (.h5)],Datasett[1 artrose/sklerose]," ")/BinEksp[[#This Row],[Number of samples]]," ")</f>
        <v>0.32696390658174096</v>
      </c>
      <c r="AB30" s="99">
        <f>IFERROR(_xlfn.XLOOKUP(BinEksp[[#This Row],[Dataset (.h5)]],Datasett[Datasett (.h5)],Datasett[2 artrose]," ")/BinEksp[[#This Row],[Number of samples]]," ")</f>
        <v>0.15753715498938428</v>
      </c>
      <c r="AC30" s="99">
        <f>IFERROR(_xlfn.XLOOKUP(BinEksp[[#This Row],[Dataset (.h5)]],Datasett[Datasett (.h5)],Datasett[2 MCD]," ")/BinEksp[[#This Row],[Number of samples]]," ")</f>
        <v>6.751592356687898E-2</v>
      </c>
      <c r="AD30" s="99">
        <f>IFERROR(_xlfn.XLOOKUP(BinEksp[[#This Row],[Dataset (.h5)]],Datasett[Datasett (.h5)],Datasett[3 artrose]," ")/BinEksp[[#This Row],[Number of samples]]," ")</f>
        <v>6.8789808917197451E-2</v>
      </c>
      <c r="AE30" s="99">
        <f>IFERROR(_xlfn.XLOOKUP(BinEksp[[#This Row],[Dataset (.h5)]],Datasett[Datasett (.h5)],Datasett[3 MCD]," ")/BinEksp[[#This Row],[Number of samples]]," ")</f>
        <v>0.10530785562632697</v>
      </c>
      <c r="AF30" s="99">
        <f>IFERROR(_xlfn.XLOOKUP(BinEksp[[#This Row],[Dataset (.h5)]],Datasett[Datasett (.h5)],Datasett[3 OCD]," ")/BinEksp[[#This Row],[Number of samples]]," ")</f>
        <v>3.397027600849257E-3</v>
      </c>
      <c r="AG30" s="99">
        <f>IFERROR(_xlfn.XLOOKUP(BinEksp[[#This Row],[Dataset (.h5)]],Datasett[Datasett (.h5)],Datasett[3 UAP]," ")/BinEksp[[#This Row],[Number of samples]]," ")</f>
        <v>1.5286624203821656E-2</v>
      </c>
      <c r="AH30" s="101">
        <f>SUM(BinEksp[[#This Row],[1 artrose/ sklerose]:[3 UAP]])</f>
        <v>0.74479830148619952</v>
      </c>
      <c r="AI30" s="115" t="str">
        <f>_xlfn.TEXTJOIN("_",TRUE,BinEksp[[#This Row],[Kompleksitet]],BinEksp[[#This Row],[Læringsrate]],IF(BinEksp[[#This Row],[Augmentering]]="ja","aug",""),IF(BinEksp[[#This Row],[Validering]]="ja","flip",""))</f>
        <v>B3_0.0005</v>
      </c>
      <c r="AJ30" s="99" t="s">
        <v>371</v>
      </c>
      <c r="AK30" s="99" t="str">
        <f>_xlfn.TEXTJOIN("_",TRUE,BinEksp[[#This Row],[Kompleksitet]],BinEksp[[#This Row],[Læringsrate]],IF(BinEksp[[#This Row],[Augmentering]]="ja","aug",""))</f>
        <v>B3_0.0005</v>
      </c>
      <c r="AL30" s="99" t="str">
        <f>_xlfn.TEXTJOIN("",TRUE,BinEksp[[#This Row],[Kompleksitet]],IF(BinEksp[[#This Row],[Augmentering]]="Ja","B","A"))</f>
        <v>B3A</v>
      </c>
    </row>
    <row r="31" spans="1:38" ht="45">
      <c r="A31" s="96">
        <v>11880981</v>
      </c>
      <c r="B31" s="97" t="s">
        <v>339</v>
      </c>
      <c r="C31" s="103"/>
      <c r="D31" s="96" t="s">
        <v>337</v>
      </c>
      <c r="E31" s="96" t="str">
        <f>_xlfn.TEXTJOIN("_",TRUE,BinEksp[[#This Row],[Kompleksitet]],BinEksp[[#This Row],[Dataset (.h5)]],_xlfn.TEXTJOIN("",TRUE,"bs",BinEksp[[#This Row],[Partistørrelse]]),BinEksp[[#This Row],[Læringsrate]],IF(BinEksp[[#This Row],[Augmentering]]="ja","aug",""),IF(BinEksp[[#This Row],[Validering]]="ja","flip",""))</f>
        <v>B3_800_arthrosis_vs_rest_bs16_0.0005</v>
      </c>
      <c r="F31" s="96" t="s">
        <v>30</v>
      </c>
      <c r="G31" s="96">
        <v>5.0000000000000001E-4</v>
      </c>
      <c r="H31" s="96" t="s">
        <v>208</v>
      </c>
      <c r="I31" s="96">
        <v>16</v>
      </c>
      <c r="J31" s="96" t="s">
        <v>208</v>
      </c>
      <c r="K31" s="96" t="s">
        <v>149</v>
      </c>
      <c r="L31" s="102">
        <v>3.5092592592592592E-2</v>
      </c>
      <c r="M31" s="96">
        <v>50</v>
      </c>
      <c r="N31" s="96">
        <v>43</v>
      </c>
      <c r="O31" s="100">
        <v>0.75715195999999996</v>
      </c>
      <c r="P31" s="100">
        <v>0.72316384</v>
      </c>
      <c r="Q31" s="100">
        <v>0.477565369042321</v>
      </c>
      <c r="R31" s="100">
        <v>0.76995305164319205</v>
      </c>
      <c r="S31" s="100">
        <v>0.65248226950354604</v>
      </c>
      <c r="T31" s="100">
        <v>0.70766280000000004</v>
      </c>
      <c r="U31" s="100">
        <v>0.64971749999999995</v>
      </c>
      <c r="V31" s="100">
        <v>0.30953351649910099</v>
      </c>
      <c r="W31" s="100">
        <v>0.69902912621359203</v>
      </c>
      <c r="X31" s="100">
        <v>0.58108108108108103</v>
      </c>
      <c r="Y31" s="98">
        <f>_xlfn.XLOOKUP(BinEksp[[#This Row],[Dataset (.h5)]],Datasett[Datasett (.h5)],Datasett[total]," ")</f>
        <v>709</v>
      </c>
      <c r="Z31" s="99">
        <f>IFERROR(_xlfn.XLOOKUP(BinEksp[[#This Row],[Dataset (.h5)]],Datasett[Datasett (.h5)],Datasett[Normale]," ")/BinEksp[[#This Row],[Number of samples]]," ")</f>
        <v>0</v>
      </c>
      <c r="AA31" s="99">
        <f>IFERROR(_xlfn.XLOOKUP(BinEksp[[#This Row],[Dataset (.h5)]],Datasett[Datasett (.h5)],Datasett[1 artrose/sklerose]," ")/BinEksp[[#This Row],[Number of samples]]," ")</f>
        <v>0.28913963328631875</v>
      </c>
      <c r="AB31" s="99">
        <f>IFERROR(_xlfn.XLOOKUP(BinEksp[[#This Row],[Dataset (.h5)]],Datasett[Datasett (.h5)],Datasett[2 artrose]," ")/BinEksp[[#This Row],[Number of samples]]," ")</f>
        <v>0.13963328631875882</v>
      </c>
      <c r="AC31" s="99">
        <f>IFERROR(_xlfn.XLOOKUP(BinEksp[[#This Row],[Dataset (.h5)]],Datasett[Datasett (.h5)],Datasett[2 MCD]," ")/BinEksp[[#This Row],[Number of samples]]," ")</f>
        <v>0.17912552891396333</v>
      </c>
      <c r="AD31" s="99">
        <f>IFERROR(_xlfn.XLOOKUP(BinEksp[[#This Row],[Dataset (.h5)]],Datasett[Datasett (.h5)],Datasett[3 artrose]," ")/BinEksp[[#This Row],[Number of samples]]," ")</f>
        <v>6.0648801128349791E-2</v>
      </c>
      <c r="AE31" s="99">
        <f>IFERROR(_xlfn.XLOOKUP(BinEksp[[#This Row],[Dataset (.h5)]],Datasett[Datasett (.h5)],Datasett[3 MCD]," ")/BinEksp[[#This Row],[Number of samples]]," ")</f>
        <v>0.27926657263751764</v>
      </c>
      <c r="AF31" s="99">
        <f>IFERROR(_xlfn.XLOOKUP(BinEksp[[#This Row],[Dataset (.h5)]],Datasett[Datasett (.h5)],Datasett[3 OCD]," ")/BinEksp[[#This Row],[Number of samples]]," ")</f>
        <v>1.1283497884344146E-2</v>
      </c>
      <c r="AG31" s="99">
        <f>IFERROR(_xlfn.XLOOKUP(BinEksp[[#This Row],[Dataset (.h5)]],Datasett[Datasett (.h5)],Datasett[3 UAP]," ")/BinEksp[[#This Row],[Number of samples]]," ")</f>
        <v>4.0902679830747531E-2</v>
      </c>
      <c r="AH31" s="101">
        <f>SUM(BinEksp[[#This Row],[1 artrose/ sklerose]:[3 UAP]])</f>
        <v>1</v>
      </c>
      <c r="AI31" s="115" t="str">
        <f>_xlfn.TEXTJOIN("_",TRUE,BinEksp[[#This Row],[Kompleksitet]],BinEksp[[#This Row],[Læringsrate]],IF(BinEksp[[#This Row],[Augmentering]]="ja","aug",""),IF(BinEksp[[#This Row],[Validering]]="ja","flip",""))</f>
        <v>B3_0.0005</v>
      </c>
      <c r="AJ31" s="99" t="s">
        <v>341</v>
      </c>
      <c r="AK31" s="99" t="str">
        <f>_xlfn.TEXTJOIN("_",TRUE,BinEksp[[#This Row],[Kompleksitet]],BinEksp[[#This Row],[Læringsrate]],IF(BinEksp[[#This Row],[Augmentering]]="ja","aug",""))</f>
        <v>B3_0.0005</v>
      </c>
      <c r="AL31" s="99" t="str">
        <f>_xlfn.TEXTJOIN("",TRUE,BinEksp[[#This Row],[Kompleksitet]],IF(BinEksp[[#This Row],[Augmentering]]="Ja","B","A"))</f>
        <v>B3A</v>
      </c>
    </row>
    <row r="32" spans="1:38" ht="45">
      <c r="A32" s="96">
        <v>11881428</v>
      </c>
      <c r="B32" s="116" t="s">
        <v>342</v>
      </c>
      <c r="C32" s="103"/>
      <c r="D32" s="96" t="s">
        <v>337</v>
      </c>
      <c r="E32" s="96" t="str">
        <f>_xlfn.TEXTJOIN("_",TRUE,BinEksp[[#This Row],[Kompleksitet]],BinEksp[[#This Row],[Dataset (.h5)]],_xlfn.TEXTJOIN("",TRUE,"bs",BinEksp[[#This Row],[Partistørrelse]]),BinEksp[[#This Row],[Læringsrate]],IF(BinEksp[[#This Row],[Augmentering]]="ja","aug",""),IF(BinEksp[[#This Row],[Validering]]="ja","flip",""))</f>
        <v>B3_800_arthrosis_vs_rest_bs16_0.0001</v>
      </c>
      <c r="F32" s="96" t="s">
        <v>30</v>
      </c>
      <c r="G32" s="96">
        <v>1E-4</v>
      </c>
      <c r="H32" s="96" t="s">
        <v>208</v>
      </c>
      <c r="I32" s="96">
        <v>16</v>
      </c>
      <c r="J32" s="96" t="s">
        <v>208</v>
      </c>
      <c r="K32" s="96" t="s">
        <v>149</v>
      </c>
      <c r="L32" s="102">
        <v>5.0428240740740739E-2</v>
      </c>
      <c r="M32" s="96">
        <v>70</v>
      </c>
      <c r="N32" s="96">
        <v>57</v>
      </c>
      <c r="O32" s="100">
        <v>0.83141770000000004</v>
      </c>
      <c r="P32" s="100">
        <v>0.7457627</v>
      </c>
      <c r="Q32" s="100">
        <v>0.49136971544470498</v>
      </c>
      <c r="R32" s="100">
        <v>0.75409836065573699</v>
      </c>
      <c r="S32" s="100">
        <v>0.73684210526315796</v>
      </c>
      <c r="T32" s="100">
        <v>0.77151970000000003</v>
      </c>
      <c r="U32" s="100">
        <v>0.71751410000000004</v>
      </c>
      <c r="V32" s="100">
        <v>0.446072551587263</v>
      </c>
      <c r="W32" s="100">
        <v>0.69135802469135799</v>
      </c>
      <c r="X32" s="100">
        <v>0.73958333333333304</v>
      </c>
      <c r="Y32" s="98">
        <f>_xlfn.XLOOKUP(BinEksp[[#This Row],[Dataset (.h5)]],Datasett[Datasett (.h5)],Datasett[total]," ")</f>
        <v>709</v>
      </c>
      <c r="Z32" s="99">
        <f>IFERROR(_xlfn.XLOOKUP(BinEksp[[#This Row],[Dataset (.h5)]],Datasett[Datasett (.h5)],Datasett[Normale]," ")/BinEksp[[#This Row],[Number of samples]]," ")</f>
        <v>0</v>
      </c>
      <c r="AA32" s="99">
        <f>IFERROR(_xlfn.XLOOKUP(BinEksp[[#This Row],[Dataset (.h5)]],Datasett[Datasett (.h5)],Datasett[1 artrose/sklerose]," ")/BinEksp[[#This Row],[Number of samples]]," ")</f>
        <v>0.28913963328631875</v>
      </c>
      <c r="AB32" s="99">
        <f>IFERROR(_xlfn.XLOOKUP(BinEksp[[#This Row],[Dataset (.h5)]],Datasett[Datasett (.h5)],Datasett[2 artrose]," ")/BinEksp[[#This Row],[Number of samples]]," ")</f>
        <v>0.13963328631875882</v>
      </c>
      <c r="AC32" s="99">
        <f>IFERROR(_xlfn.XLOOKUP(BinEksp[[#This Row],[Dataset (.h5)]],Datasett[Datasett (.h5)],Datasett[2 MCD]," ")/BinEksp[[#This Row],[Number of samples]]," ")</f>
        <v>0.17912552891396333</v>
      </c>
      <c r="AD32" s="99">
        <f>IFERROR(_xlfn.XLOOKUP(BinEksp[[#This Row],[Dataset (.h5)]],Datasett[Datasett (.h5)],Datasett[3 artrose]," ")/BinEksp[[#This Row],[Number of samples]]," ")</f>
        <v>6.0648801128349791E-2</v>
      </c>
      <c r="AE32" s="99">
        <f>IFERROR(_xlfn.XLOOKUP(BinEksp[[#This Row],[Dataset (.h5)]],Datasett[Datasett (.h5)],Datasett[3 MCD]," ")/BinEksp[[#This Row],[Number of samples]]," ")</f>
        <v>0.27926657263751764</v>
      </c>
      <c r="AF32" s="99">
        <f>IFERROR(_xlfn.XLOOKUP(BinEksp[[#This Row],[Dataset (.h5)]],Datasett[Datasett (.h5)],Datasett[3 OCD]," ")/BinEksp[[#This Row],[Number of samples]]," ")</f>
        <v>1.1283497884344146E-2</v>
      </c>
      <c r="AG32" s="99">
        <f>IFERROR(_xlfn.XLOOKUP(BinEksp[[#This Row],[Dataset (.h5)]],Datasett[Datasett (.h5)],Datasett[3 UAP]," ")/BinEksp[[#This Row],[Number of samples]]," ")</f>
        <v>4.0902679830747531E-2</v>
      </c>
      <c r="AH32" s="101">
        <f>SUM(BinEksp[[#This Row],[1 artrose/ sklerose]:[3 UAP]])</f>
        <v>1</v>
      </c>
      <c r="AI32" s="115" t="str">
        <f>_xlfn.TEXTJOIN("_",TRUE,BinEksp[[#This Row],[Kompleksitet]],BinEksp[[#This Row],[Læringsrate]],IF(BinEksp[[#This Row],[Augmentering]]="ja","aug",""),IF(BinEksp[[#This Row],[Validering]]="ja","flip",""))</f>
        <v>B3_0.0001</v>
      </c>
      <c r="AJ32" s="99" t="s">
        <v>341</v>
      </c>
      <c r="AK32" s="99" t="str">
        <f>_xlfn.TEXTJOIN("_",TRUE,BinEksp[[#This Row],[Kompleksitet]],BinEksp[[#This Row],[Læringsrate]],IF(BinEksp[[#This Row],[Augmentering]]="ja","aug",""))</f>
        <v>B3_0.0001</v>
      </c>
      <c r="AL32" s="99" t="str">
        <f>_xlfn.TEXTJOIN("",TRUE,BinEksp[[#This Row],[Kompleksitet]],IF(BinEksp[[#This Row],[Augmentering]]="Ja","B","A"))</f>
        <v>B3A</v>
      </c>
    </row>
    <row r="33" spans="1:38" ht="45">
      <c r="A33" s="96">
        <v>11898350</v>
      </c>
      <c r="B33" s="116" t="s">
        <v>349</v>
      </c>
      <c r="C33" s="103"/>
      <c r="D33" s="96" t="s">
        <v>337</v>
      </c>
      <c r="E33" s="96" t="str">
        <f>_xlfn.TEXTJOIN("_",TRUE,BinEksp[[#This Row],[Kompleksitet]],BinEksp[[#This Row],[Dataset (.h5)]],_xlfn.TEXTJOIN("",TRUE,"bs",BinEksp[[#This Row],[Partistørrelse]]),BinEksp[[#This Row],[Læringsrate]],IF(BinEksp[[#This Row],[Augmentering]]="ja","aug",""),IF(BinEksp[[#This Row],[Validering]]="ja","flip",""))</f>
        <v>B4_800_arthrosis_vs_rest_bs8_0.0001</v>
      </c>
      <c r="F33" s="96" t="s">
        <v>57</v>
      </c>
      <c r="G33" s="96">
        <v>1E-4</v>
      </c>
      <c r="H33" s="96" t="s">
        <v>208</v>
      </c>
      <c r="I33" s="96">
        <v>8</v>
      </c>
      <c r="J33" s="96" t="s">
        <v>208</v>
      </c>
      <c r="K33" s="96" t="s">
        <v>149</v>
      </c>
      <c r="L33" s="102">
        <v>6.8993055555555557E-2</v>
      </c>
      <c r="M33" s="96">
        <v>70</v>
      </c>
      <c r="N33" s="96">
        <v>43</v>
      </c>
      <c r="O33" s="100">
        <v>0.85140479999999996</v>
      </c>
      <c r="P33" s="100">
        <v>0.78531074999999995</v>
      </c>
      <c r="Q33" s="100">
        <v>0.58410549150150404</v>
      </c>
      <c r="R33" s="100">
        <v>0.76543209876543195</v>
      </c>
      <c r="S33" s="100">
        <v>0.80208333333333304</v>
      </c>
      <c r="T33" s="100">
        <v>0.74514670000000005</v>
      </c>
      <c r="U33" s="100">
        <v>0.62711865</v>
      </c>
      <c r="V33" s="100">
        <v>0.30402712360581702</v>
      </c>
      <c r="W33" s="100">
        <v>0.50746268656716398</v>
      </c>
      <c r="X33" s="100">
        <v>0.7</v>
      </c>
      <c r="Y33" s="98">
        <f>_xlfn.XLOOKUP(BinEksp[[#This Row],[Dataset (.h5)]],Datasett[Datasett (.h5)],Datasett[total]," ")</f>
        <v>709</v>
      </c>
      <c r="Z33" s="99">
        <f>IFERROR(_xlfn.XLOOKUP(BinEksp[[#This Row],[Dataset (.h5)]],Datasett[Datasett (.h5)],Datasett[Normale]," ")/BinEksp[[#This Row],[Number of samples]]," ")</f>
        <v>0</v>
      </c>
      <c r="AA33" s="99">
        <f>IFERROR(_xlfn.XLOOKUP(BinEksp[[#This Row],[Dataset (.h5)]],Datasett[Datasett (.h5)],Datasett[1 artrose/sklerose]," ")/BinEksp[[#This Row],[Number of samples]]," ")</f>
        <v>0.28913963328631875</v>
      </c>
      <c r="AB33" s="99">
        <f>IFERROR(_xlfn.XLOOKUP(BinEksp[[#This Row],[Dataset (.h5)]],Datasett[Datasett (.h5)],Datasett[2 artrose]," ")/BinEksp[[#This Row],[Number of samples]]," ")</f>
        <v>0.13963328631875882</v>
      </c>
      <c r="AC33" s="99">
        <f>IFERROR(_xlfn.XLOOKUP(BinEksp[[#This Row],[Dataset (.h5)]],Datasett[Datasett (.h5)],Datasett[2 MCD]," ")/BinEksp[[#This Row],[Number of samples]]," ")</f>
        <v>0.17912552891396333</v>
      </c>
      <c r="AD33" s="99">
        <f>IFERROR(_xlfn.XLOOKUP(BinEksp[[#This Row],[Dataset (.h5)]],Datasett[Datasett (.h5)],Datasett[3 artrose]," ")/BinEksp[[#This Row],[Number of samples]]," ")</f>
        <v>6.0648801128349791E-2</v>
      </c>
      <c r="AE33" s="99">
        <f>IFERROR(_xlfn.XLOOKUP(BinEksp[[#This Row],[Dataset (.h5)]],Datasett[Datasett (.h5)],Datasett[3 MCD]," ")/BinEksp[[#This Row],[Number of samples]]," ")</f>
        <v>0.27926657263751764</v>
      </c>
      <c r="AF33" s="99">
        <f>IFERROR(_xlfn.XLOOKUP(BinEksp[[#This Row],[Dataset (.h5)]],Datasett[Datasett (.h5)],Datasett[3 OCD]," ")/BinEksp[[#This Row],[Number of samples]]," ")</f>
        <v>1.1283497884344146E-2</v>
      </c>
      <c r="AG33" s="99">
        <f>IFERROR(_xlfn.XLOOKUP(BinEksp[[#This Row],[Dataset (.h5)]],Datasett[Datasett (.h5)],Datasett[3 UAP]," ")/BinEksp[[#This Row],[Number of samples]]," ")</f>
        <v>4.0902679830747531E-2</v>
      </c>
      <c r="AH33" s="101">
        <f>SUM(BinEksp[[#This Row],[1 artrose/ sklerose]:[3 UAP]])</f>
        <v>1</v>
      </c>
      <c r="AI33" s="115" t="str">
        <f>_xlfn.TEXTJOIN("_",TRUE,BinEksp[[#This Row],[Kompleksitet]],BinEksp[[#This Row],[Læringsrate]],IF(BinEksp[[#This Row],[Augmentering]]="ja","aug",""),IF(BinEksp[[#This Row],[Validering]]="ja","flip",""))</f>
        <v>B4_0.0001</v>
      </c>
      <c r="AJ33" s="99" t="s">
        <v>341</v>
      </c>
      <c r="AK33" s="99" t="str">
        <f>_xlfn.TEXTJOIN("_",TRUE,BinEksp[[#This Row],[Kompleksitet]],BinEksp[[#This Row],[Læringsrate]],IF(BinEksp[[#This Row],[Augmentering]]="ja","aug",""))</f>
        <v>B4_0.0001</v>
      </c>
      <c r="AL33" s="99" t="str">
        <f>_xlfn.TEXTJOIN("",TRUE,BinEksp[[#This Row],[Kompleksitet]],IF(BinEksp[[#This Row],[Augmentering]]="Ja","B","A"))</f>
        <v>B4A</v>
      </c>
    </row>
    <row r="34" spans="1:38" ht="45">
      <c r="A34" s="96">
        <v>11898434</v>
      </c>
      <c r="B34" s="116" t="s">
        <v>344</v>
      </c>
      <c r="C34" s="103"/>
      <c r="D34" s="96" t="s">
        <v>337</v>
      </c>
      <c r="E34" s="96" t="str">
        <f>_xlfn.TEXTJOIN("_",TRUE,BinEksp[[#This Row],[Kompleksitet]],BinEksp[[#This Row],[Dataset (.h5)]],_xlfn.TEXTJOIN("",TRUE,"bs",BinEksp[[#This Row],[Partistørrelse]]),BinEksp[[#This Row],[Læringsrate]],IF(BinEksp[[#This Row],[Augmentering]]="ja","aug",""),IF(BinEksp[[#This Row],[Validering]]="ja","flip",""))</f>
        <v>B2_800_arthrosis_vs_rest_bs25_0.0005</v>
      </c>
      <c r="F34" s="96" t="s">
        <v>25</v>
      </c>
      <c r="G34" s="96">
        <v>5.0000000000000001E-4</v>
      </c>
      <c r="H34" s="96" t="s">
        <v>208</v>
      </c>
      <c r="I34" s="96">
        <v>25</v>
      </c>
      <c r="J34" s="96" t="s">
        <v>208</v>
      </c>
      <c r="K34" s="96" t="s">
        <v>149</v>
      </c>
      <c r="L34" s="102">
        <v>4.6516203703703705E-2</v>
      </c>
      <c r="M34" s="96">
        <v>70</v>
      </c>
      <c r="N34" s="96">
        <v>65</v>
      </c>
      <c r="O34" s="100">
        <v>0.81232435000000003</v>
      </c>
      <c r="P34" s="100">
        <v>0.75141245000000001</v>
      </c>
      <c r="Q34" s="100">
        <v>0.51508902154438296</v>
      </c>
      <c r="R34" s="100">
        <v>0.72839506172839497</v>
      </c>
      <c r="S34" s="100">
        <v>0.77083333333333304</v>
      </c>
      <c r="T34" s="100">
        <v>0.72598976000000004</v>
      </c>
      <c r="U34" s="100">
        <v>0.66666669999999995</v>
      </c>
      <c r="V34" s="100">
        <v>0.35628597472031898</v>
      </c>
      <c r="W34" s="100">
        <v>0.60927152317880695</v>
      </c>
      <c r="X34" s="100">
        <v>0.70935960591132996</v>
      </c>
      <c r="Y34" s="98">
        <f>_xlfn.XLOOKUP(BinEksp[[#This Row],[Dataset (.h5)]],Datasett[Datasett (.h5)],Datasett[total]," ")</f>
        <v>709</v>
      </c>
      <c r="Z34" s="99">
        <f>IFERROR(_xlfn.XLOOKUP(BinEksp[[#This Row],[Dataset (.h5)]],Datasett[Datasett (.h5)],Datasett[Normale]," ")/BinEksp[[#This Row],[Number of samples]]," ")</f>
        <v>0</v>
      </c>
      <c r="AA34" s="99">
        <f>IFERROR(_xlfn.XLOOKUP(BinEksp[[#This Row],[Dataset (.h5)]],Datasett[Datasett (.h5)],Datasett[1 artrose/sklerose]," ")/BinEksp[[#This Row],[Number of samples]]," ")</f>
        <v>0.28913963328631875</v>
      </c>
      <c r="AB34" s="99">
        <f>IFERROR(_xlfn.XLOOKUP(BinEksp[[#This Row],[Dataset (.h5)]],Datasett[Datasett (.h5)],Datasett[2 artrose]," ")/BinEksp[[#This Row],[Number of samples]]," ")</f>
        <v>0.13963328631875882</v>
      </c>
      <c r="AC34" s="99">
        <f>IFERROR(_xlfn.XLOOKUP(BinEksp[[#This Row],[Dataset (.h5)]],Datasett[Datasett (.h5)],Datasett[2 MCD]," ")/BinEksp[[#This Row],[Number of samples]]," ")</f>
        <v>0.17912552891396333</v>
      </c>
      <c r="AD34" s="99">
        <f>IFERROR(_xlfn.XLOOKUP(BinEksp[[#This Row],[Dataset (.h5)]],Datasett[Datasett (.h5)],Datasett[3 artrose]," ")/BinEksp[[#This Row],[Number of samples]]," ")</f>
        <v>6.0648801128349791E-2</v>
      </c>
      <c r="AE34" s="99">
        <f>IFERROR(_xlfn.XLOOKUP(BinEksp[[#This Row],[Dataset (.h5)]],Datasett[Datasett (.h5)],Datasett[3 MCD]," ")/BinEksp[[#This Row],[Number of samples]]," ")</f>
        <v>0.27926657263751764</v>
      </c>
      <c r="AF34" s="99">
        <f>IFERROR(_xlfn.XLOOKUP(BinEksp[[#This Row],[Dataset (.h5)]],Datasett[Datasett (.h5)],Datasett[3 OCD]," ")/BinEksp[[#This Row],[Number of samples]]," ")</f>
        <v>1.1283497884344146E-2</v>
      </c>
      <c r="AG34" s="99">
        <f>IFERROR(_xlfn.XLOOKUP(BinEksp[[#This Row],[Dataset (.h5)]],Datasett[Datasett (.h5)],Datasett[3 UAP]," ")/BinEksp[[#This Row],[Number of samples]]," ")</f>
        <v>4.0902679830747531E-2</v>
      </c>
      <c r="AH34" s="101">
        <f>SUM(BinEksp[[#This Row],[1 artrose/ sklerose]:[3 UAP]])</f>
        <v>1</v>
      </c>
      <c r="AI34" s="115" t="str">
        <f>_xlfn.TEXTJOIN("_",TRUE,BinEksp[[#This Row],[Kompleksitet]],BinEksp[[#This Row],[Læringsrate]],IF(BinEksp[[#This Row],[Augmentering]]="ja","aug",""),IF(BinEksp[[#This Row],[Validering]]="ja","flip",""))</f>
        <v>B2_0.0005</v>
      </c>
      <c r="AJ34" s="99" t="s">
        <v>341</v>
      </c>
      <c r="AK34" s="99" t="str">
        <f>_xlfn.TEXTJOIN("_",TRUE,BinEksp[[#This Row],[Kompleksitet]],BinEksp[[#This Row],[Læringsrate]],IF(BinEksp[[#This Row],[Augmentering]]="ja","aug",""))</f>
        <v>B2_0.0005</v>
      </c>
      <c r="AL34" s="99" t="str">
        <f>_xlfn.TEXTJOIN("",TRUE,BinEksp[[#This Row],[Kompleksitet]],IF(BinEksp[[#This Row],[Augmentering]]="Ja","B","A"))</f>
        <v>B2A</v>
      </c>
    </row>
    <row r="35" spans="1:38" ht="45">
      <c r="A35" s="96">
        <v>11899260</v>
      </c>
      <c r="B35" s="116" t="s">
        <v>345</v>
      </c>
      <c r="C35" s="103"/>
      <c r="D35" s="96" t="s">
        <v>337</v>
      </c>
      <c r="E35" s="96" t="str">
        <f>_xlfn.TEXTJOIN("_",TRUE,BinEksp[[#This Row],[Kompleksitet]],BinEksp[[#This Row],[Dataset (.h5)]],_xlfn.TEXTJOIN("",TRUE,"bs",BinEksp[[#This Row],[Partistørrelse]]),BinEksp[[#This Row],[Læringsrate]],IF(BinEksp[[#This Row],[Augmentering]]="ja","aug",""),IF(BinEksp[[#This Row],[Validering]]="ja","flip",""))</f>
        <v>B3_800_arthrosis_vs_rest_bs16_0.0001_aug</v>
      </c>
      <c r="F35" s="96" t="s">
        <v>30</v>
      </c>
      <c r="G35" s="96">
        <v>1E-4</v>
      </c>
      <c r="H35" s="96" t="s">
        <v>209</v>
      </c>
      <c r="I35" s="96">
        <v>16</v>
      </c>
      <c r="J35" s="96" t="s">
        <v>208</v>
      </c>
      <c r="K35" s="96" t="s">
        <v>149</v>
      </c>
      <c r="L35" s="102">
        <v>7.5960648148148138E-2</v>
      </c>
      <c r="M35" s="96">
        <v>70</v>
      </c>
      <c r="N35" s="96">
        <v>64</v>
      </c>
      <c r="O35" s="100">
        <v>0.85683273999999998</v>
      </c>
      <c r="P35" s="100">
        <v>0.77966100000000005</v>
      </c>
      <c r="Q35" s="100">
        <v>0.56036485329780505</v>
      </c>
      <c r="R35" s="100">
        <v>0.79144385026737896</v>
      </c>
      <c r="S35" s="100">
        <v>0.76646706586826296</v>
      </c>
      <c r="T35" s="100">
        <v>0.81590039999999997</v>
      </c>
      <c r="U35" s="100">
        <v>0.70621467000000004</v>
      </c>
      <c r="V35" s="100">
        <v>0.41604011429596599</v>
      </c>
      <c r="W35" s="100">
        <v>0.69411764705882295</v>
      </c>
      <c r="X35" s="100">
        <v>0.71739130434782605</v>
      </c>
      <c r="Y35" s="98">
        <f>_xlfn.XLOOKUP(BinEksp[[#This Row],[Dataset (.h5)]],Datasett[Datasett (.h5)],Datasett[total]," ")</f>
        <v>709</v>
      </c>
      <c r="Z35" s="99">
        <f>IFERROR(_xlfn.XLOOKUP(BinEksp[[#This Row],[Dataset (.h5)]],Datasett[Datasett (.h5)],Datasett[Normale]," ")/BinEksp[[#This Row],[Number of samples]]," ")</f>
        <v>0</v>
      </c>
      <c r="AA35" s="99">
        <f>IFERROR(_xlfn.XLOOKUP(BinEksp[[#This Row],[Dataset (.h5)]],Datasett[Datasett (.h5)],Datasett[1 artrose/sklerose]," ")/BinEksp[[#This Row],[Number of samples]]," ")</f>
        <v>0.28913963328631875</v>
      </c>
      <c r="AB35" s="99">
        <f>IFERROR(_xlfn.XLOOKUP(BinEksp[[#This Row],[Dataset (.h5)]],Datasett[Datasett (.h5)],Datasett[2 artrose]," ")/BinEksp[[#This Row],[Number of samples]]," ")</f>
        <v>0.13963328631875882</v>
      </c>
      <c r="AC35" s="99">
        <f>IFERROR(_xlfn.XLOOKUP(BinEksp[[#This Row],[Dataset (.h5)]],Datasett[Datasett (.h5)],Datasett[2 MCD]," ")/BinEksp[[#This Row],[Number of samples]]," ")</f>
        <v>0.17912552891396333</v>
      </c>
      <c r="AD35" s="99">
        <f>IFERROR(_xlfn.XLOOKUP(BinEksp[[#This Row],[Dataset (.h5)]],Datasett[Datasett (.h5)],Datasett[3 artrose]," ")/BinEksp[[#This Row],[Number of samples]]," ")</f>
        <v>6.0648801128349791E-2</v>
      </c>
      <c r="AE35" s="99">
        <f>IFERROR(_xlfn.XLOOKUP(BinEksp[[#This Row],[Dataset (.h5)]],Datasett[Datasett (.h5)],Datasett[3 MCD]," ")/BinEksp[[#This Row],[Number of samples]]," ")</f>
        <v>0.27926657263751764</v>
      </c>
      <c r="AF35" s="99">
        <f>IFERROR(_xlfn.XLOOKUP(BinEksp[[#This Row],[Dataset (.h5)]],Datasett[Datasett (.h5)],Datasett[3 OCD]," ")/BinEksp[[#This Row],[Number of samples]]," ")</f>
        <v>1.1283497884344146E-2</v>
      </c>
      <c r="AG35" s="99">
        <f>IFERROR(_xlfn.XLOOKUP(BinEksp[[#This Row],[Dataset (.h5)]],Datasett[Datasett (.h5)],Datasett[3 UAP]," ")/BinEksp[[#This Row],[Number of samples]]," ")</f>
        <v>4.0902679830747531E-2</v>
      </c>
      <c r="AH35" s="101">
        <f>SUM(BinEksp[[#This Row],[1 artrose/ sklerose]:[3 UAP]])</f>
        <v>1</v>
      </c>
      <c r="AI35" s="115" t="str">
        <f>_xlfn.TEXTJOIN("_",TRUE,BinEksp[[#This Row],[Kompleksitet]],BinEksp[[#This Row],[Læringsrate]],IF(BinEksp[[#This Row],[Augmentering]]="ja","aug",""),IF(BinEksp[[#This Row],[Validering]]="ja","flip",""))</f>
        <v>B3_0.0001_aug</v>
      </c>
      <c r="AJ35" s="99" t="s">
        <v>341</v>
      </c>
      <c r="AK35" s="99" t="str">
        <f>_xlfn.TEXTJOIN("_",TRUE,BinEksp[[#This Row],[Kompleksitet]],BinEksp[[#This Row],[Læringsrate]],IF(BinEksp[[#This Row],[Augmentering]]="ja","aug",""))</f>
        <v>B3_0.0001_aug</v>
      </c>
      <c r="AL35" s="99" t="str">
        <f>_xlfn.TEXTJOIN("",TRUE,BinEksp[[#This Row],[Kompleksitet]],IF(BinEksp[[#This Row],[Augmentering]]="Ja","B","A"))</f>
        <v>B3B</v>
      </c>
    </row>
    <row r="36" spans="1:38" ht="45">
      <c r="A36" s="96">
        <v>11901962</v>
      </c>
      <c r="B36" s="116" t="s">
        <v>350</v>
      </c>
      <c r="C36" s="103"/>
      <c r="D36" s="96" t="s">
        <v>337</v>
      </c>
      <c r="E36" s="96" t="str">
        <f>_xlfn.TEXTJOIN("_",TRUE,BinEksp[[#This Row],[Kompleksitet]],BinEksp[[#This Row],[Dataset (.h5)]],_xlfn.TEXTJOIN("",TRUE,"bs",BinEksp[[#This Row],[Partistørrelse]]),BinEksp[[#This Row],[Læringsrate]],IF(BinEksp[[#This Row],[Augmentering]]="ja","aug",""),IF(BinEksp[[#This Row],[Validering]]="ja","flip",""))</f>
        <v>B3_800_arthrosis_vs_rest_bs16_0.0005_aug</v>
      </c>
      <c r="F36" s="96" t="s">
        <v>30</v>
      </c>
      <c r="G36" s="96">
        <v>5.0000000000000001E-4</v>
      </c>
      <c r="H36" s="96" t="s">
        <v>209</v>
      </c>
      <c r="I36" s="96">
        <v>16</v>
      </c>
      <c r="J36" s="96" t="s">
        <v>208</v>
      </c>
      <c r="K36" s="96" t="s">
        <v>149</v>
      </c>
      <c r="L36" s="102">
        <v>7.4664351851851843E-2</v>
      </c>
      <c r="M36" s="96">
        <v>70</v>
      </c>
      <c r="N36" s="96">
        <v>57</v>
      </c>
      <c r="O36" s="100">
        <v>0.82017879999999999</v>
      </c>
      <c r="P36" s="100">
        <v>0.7627119</v>
      </c>
      <c r="Q36" s="100">
        <v>0.528170745905432</v>
      </c>
      <c r="R36" s="100">
        <v>0.75581395348837199</v>
      </c>
      <c r="S36" s="100">
        <v>0.76923076923076905</v>
      </c>
      <c r="T36" s="100">
        <v>0.69604089999999996</v>
      </c>
      <c r="U36" s="100">
        <v>0.62711865</v>
      </c>
      <c r="V36" s="100">
        <v>0.260572405151623</v>
      </c>
      <c r="W36" s="100">
        <v>0.59756097560975596</v>
      </c>
      <c r="X36" s="100">
        <v>0.65263157894736801</v>
      </c>
      <c r="Y36" s="98">
        <f>_xlfn.XLOOKUP(BinEksp[[#This Row],[Dataset (.h5)]],Datasett[Datasett (.h5)],Datasett[total]," ")</f>
        <v>709</v>
      </c>
      <c r="Z36" s="99">
        <f>IFERROR(_xlfn.XLOOKUP(BinEksp[[#This Row],[Dataset (.h5)]],Datasett[Datasett (.h5)],Datasett[Normale]," ")/BinEksp[[#This Row],[Number of samples]]," ")</f>
        <v>0</v>
      </c>
      <c r="AA36" s="99">
        <f>IFERROR(_xlfn.XLOOKUP(BinEksp[[#This Row],[Dataset (.h5)]],Datasett[Datasett (.h5)],Datasett[1 artrose/sklerose]," ")/BinEksp[[#This Row],[Number of samples]]," ")</f>
        <v>0.28913963328631875</v>
      </c>
      <c r="AB36" s="99">
        <f>IFERROR(_xlfn.XLOOKUP(BinEksp[[#This Row],[Dataset (.h5)]],Datasett[Datasett (.h5)],Datasett[2 artrose]," ")/BinEksp[[#This Row],[Number of samples]]," ")</f>
        <v>0.13963328631875882</v>
      </c>
      <c r="AC36" s="99">
        <f>IFERROR(_xlfn.XLOOKUP(BinEksp[[#This Row],[Dataset (.h5)]],Datasett[Datasett (.h5)],Datasett[2 MCD]," ")/BinEksp[[#This Row],[Number of samples]]," ")</f>
        <v>0.17912552891396333</v>
      </c>
      <c r="AD36" s="99">
        <f>IFERROR(_xlfn.XLOOKUP(BinEksp[[#This Row],[Dataset (.h5)]],Datasett[Datasett (.h5)],Datasett[3 artrose]," ")/BinEksp[[#This Row],[Number of samples]]," ")</f>
        <v>6.0648801128349791E-2</v>
      </c>
      <c r="AE36" s="99">
        <f>IFERROR(_xlfn.XLOOKUP(BinEksp[[#This Row],[Dataset (.h5)]],Datasett[Datasett (.h5)],Datasett[3 MCD]," ")/BinEksp[[#This Row],[Number of samples]]," ")</f>
        <v>0.27926657263751764</v>
      </c>
      <c r="AF36" s="99">
        <f>IFERROR(_xlfn.XLOOKUP(BinEksp[[#This Row],[Dataset (.h5)]],Datasett[Datasett (.h5)],Datasett[3 OCD]," ")/BinEksp[[#This Row],[Number of samples]]," ")</f>
        <v>1.1283497884344146E-2</v>
      </c>
      <c r="AG36" s="99">
        <f>IFERROR(_xlfn.XLOOKUP(BinEksp[[#This Row],[Dataset (.h5)]],Datasett[Datasett (.h5)],Datasett[3 UAP]," ")/BinEksp[[#This Row],[Number of samples]]," ")</f>
        <v>4.0902679830747531E-2</v>
      </c>
      <c r="AH36" s="101">
        <f>SUM(BinEksp[[#This Row],[1 artrose/ sklerose]:[3 UAP]])</f>
        <v>1</v>
      </c>
      <c r="AI36" s="115" t="str">
        <f>_xlfn.TEXTJOIN("_",TRUE,BinEksp[[#This Row],[Kompleksitet]],BinEksp[[#This Row],[Læringsrate]],IF(BinEksp[[#This Row],[Augmentering]]="ja","aug",""),IF(BinEksp[[#This Row],[Validering]]="ja","flip",""))</f>
        <v>B3_0.0005_aug</v>
      </c>
      <c r="AJ36" s="99" t="s">
        <v>341</v>
      </c>
      <c r="AK36" s="99" t="str">
        <f>_xlfn.TEXTJOIN("_",TRUE,BinEksp[[#This Row],[Kompleksitet]],BinEksp[[#This Row],[Læringsrate]],IF(BinEksp[[#This Row],[Augmentering]]="ja","aug",""))</f>
        <v>B3_0.0005_aug</v>
      </c>
      <c r="AL36" s="99" t="str">
        <f>_xlfn.TEXTJOIN("",TRUE,BinEksp[[#This Row],[Kompleksitet]],IF(BinEksp[[#This Row],[Augmentering]]="Ja","B","A"))</f>
        <v>B3B</v>
      </c>
    </row>
    <row r="37" spans="1:38" ht="45">
      <c r="A37" s="96">
        <v>11902004</v>
      </c>
      <c r="B37" s="116" t="s">
        <v>353</v>
      </c>
      <c r="C37" s="103"/>
      <c r="D37" s="96" t="s">
        <v>338</v>
      </c>
      <c r="E37" s="96" t="str">
        <f>_xlfn.TEXTJOIN("_",TRUE,BinEksp[[#This Row],[Kompleksitet]],BinEksp[[#This Row],[Dataset (.h5)]],_xlfn.TEXTJOIN("",TRUE,"bs",BinEksp[[#This Row],[Partistørrelse]]),BinEksp[[#This Row],[Læringsrate]],IF(BinEksp[[#This Row],[Augmentering]]="ja","aug",""),IF(BinEksp[[#This Row],[Validering]]="ja","flip",""))</f>
        <v>B4_800_lvl1_vs_rest_bs8_0.0005</v>
      </c>
      <c r="F37" s="96" t="s">
        <v>57</v>
      </c>
      <c r="G37" s="96">
        <v>5.0000000000000001E-4</v>
      </c>
      <c r="H37" s="96" t="s">
        <v>208</v>
      </c>
      <c r="I37" s="96">
        <v>8</v>
      </c>
      <c r="J37" s="96" t="s">
        <v>208</v>
      </c>
      <c r="K37" s="96" t="s">
        <v>149</v>
      </c>
      <c r="L37" s="102">
        <v>0.10222222222222221</v>
      </c>
      <c r="M37" s="96">
        <v>70</v>
      </c>
      <c r="N37" s="96">
        <v>54</v>
      </c>
      <c r="O37" s="100">
        <v>0.87393469999999995</v>
      </c>
      <c r="P37" s="100">
        <v>0.82935154</v>
      </c>
      <c r="Q37" s="100">
        <v>0.65384159445362899</v>
      </c>
      <c r="R37" s="100">
        <v>0.84756097560975596</v>
      </c>
      <c r="S37" s="100">
        <v>0.806201550387596</v>
      </c>
      <c r="T37" s="100">
        <v>0.78058240000000001</v>
      </c>
      <c r="U37" s="100">
        <v>0.73720140000000001</v>
      </c>
      <c r="V37" s="100">
        <v>0.47741622019580099</v>
      </c>
      <c r="W37" s="100">
        <v>0.752411575562701</v>
      </c>
      <c r="X37" s="100">
        <v>0.72</v>
      </c>
      <c r="Y37" s="98">
        <f>_xlfn.XLOOKUP(BinEksp[[#This Row],[Dataset (.h5)]],Datasett[Datasett (.h5)],Datasett[total]," ")</f>
        <v>1173</v>
      </c>
      <c r="Z37" s="99">
        <f>IFERROR(_xlfn.XLOOKUP(BinEksp[[#This Row],[Dataset (.h5)]],Datasett[Datasett (.h5)],Datasett[Normale]," ")/BinEksp[[#This Row],[Number of samples]]," ")</f>
        <v>0</v>
      </c>
      <c r="AA37" s="99">
        <f>IFERROR(_xlfn.XLOOKUP(BinEksp[[#This Row],[Dataset (.h5)]],Datasett[Datasett (.h5)],Datasett[1 artrose/sklerose]," ")/BinEksp[[#This Row],[Number of samples]]," ")</f>
        <v>0.43819266837169651</v>
      </c>
      <c r="AB37" s="99">
        <f>IFERROR(_xlfn.XLOOKUP(BinEksp[[#This Row],[Dataset (.h5)]],Datasett[Datasett (.h5)],Datasett[2 artrose]," ")/BinEksp[[#This Row],[Number of samples]]," ")</f>
        <v>0.21142369991474852</v>
      </c>
      <c r="AC37" s="99">
        <f>IFERROR(_xlfn.XLOOKUP(BinEksp[[#This Row],[Dataset (.h5)]],Datasett[Datasett (.h5)],Datasett[2 MCD]," ")/BinEksp[[#This Row],[Number of samples]]," ")</f>
        <v>9.0366581415174771E-2</v>
      </c>
      <c r="AD37" s="99">
        <f>IFERROR(_xlfn.XLOOKUP(BinEksp[[#This Row],[Dataset (.h5)]],Datasett[Datasett (.h5)],Datasett[3 artrose]," ")/BinEksp[[#This Row],[Number of samples]]," ")</f>
        <v>9.2071611253196933E-2</v>
      </c>
      <c r="AE37" s="99">
        <f>IFERROR(_xlfn.XLOOKUP(BinEksp[[#This Row],[Dataset (.h5)]],Datasett[Datasett (.h5)],Datasett[3 MCD]," ")/BinEksp[[#This Row],[Number of samples]]," ")</f>
        <v>0.14066496163682865</v>
      </c>
      <c r="AF37" s="99">
        <f>IFERROR(_xlfn.XLOOKUP(BinEksp[[#This Row],[Dataset (.h5)]],Datasett[Datasett (.h5)],Datasett[3 OCD]," ")/BinEksp[[#This Row],[Number of samples]]," ")</f>
        <v>6.8201193520886615E-3</v>
      </c>
      <c r="AG37" s="99">
        <f>IFERROR(_xlfn.XLOOKUP(BinEksp[[#This Row],[Dataset (.h5)]],Datasett[Datasett (.h5)],Datasett[3 UAP]," ")/BinEksp[[#This Row],[Number of samples]]," ")</f>
        <v>2.0460358056265986E-2</v>
      </c>
      <c r="AH37" s="101">
        <f>SUM(BinEksp[[#This Row],[1 artrose/ sklerose]:[3 UAP]])</f>
        <v>1</v>
      </c>
      <c r="AI37" s="115" t="str">
        <f>_xlfn.TEXTJOIN("_",TRUE,BinEksp[[#This Row],[Kompleksitet]],BinEksp[[#This Row],[Læringsrate]],IF(BinEksp[[#This Row],[Augmentering]]="ja","aug",""),IF(BinEksp[[#This Row],[Validering]]="ja","flip",""))</f>
        <v>B4_0.0005</v>
      </c>
      <c r="AJ37" s="99" t="s">
        <v>355</v>
      </c>
      <c r="AK37" s="99" t="str">
        <f>_xlfn.TEXTJOIN("_",TRUE,BinEksp[[#This Row],[Kompleksitet]],BinEksp[[#This Row],[Læringsrate]],IF(BinEksp[[#This Row],[Augmentering]]="ja","aug",""))</f>
        <v>B4_0.0005</v>
      </c>
      <c r="AL37" s="99" t="str">
        <f>_xlfn.TEXTJOIN("",TRUE,BinEksp[[#This Row],[Kompleksitet]],IF(BinEksp[[#This Row],[Augmentering]]="Ja","B","A"))</f>
        <v>B4A</v>
      </c>
    </row>
    <row r="38" spans="1:38" ht="45">
      <c r="A38" s="96">
        <v>11902751</v>
      </c>
      <c r="B38" s="116" t="s">
        <v>354</v>
      </c>
      <c r="C38" s="103"/>
      <c r="D38" s="96" t="s">
        <v>338</v>
      </c>
      <c r="E38" s="96" t="str">
        <f>_xlfn.TEXTJOIN("_",TRUE,BinEksp[[#This Row],[Kompleksitet]],BinEksp[[#This Row],[Dataset (.h5)]],_xlfn.TEXTJOIN("",TRUE,"bs",BinEksp[[#This Row],[Partistørrelse]]),BinEksp[[#This Row],[Læringsrate]],IF(BinEksp[[#This Row],[Augmentering]]="ja","aug",""),IF(BinEksp[[#This Row],[Validering]]="ja","flip",""))</f>
        <v>B4_800_lvl1_vs_rest_bs8_0.0001</v>
      </c>
      <c r="F38" s="96" t="s">
        <v>57</v>
      </c>
      <c r="G38" s="96">
        <v>1E-4</v>
      </c>
      <c r="H38" s="96" t="s">
        <v>208</v>
      </c>
      <c r="I38" s="96">
        <v>8</v>
      </c>
      <c r="J38" s="96" t="s">
        <v>208</v>
      </c>
      <c r="K38" s="96" t="s">
        <v>149</v>
      </c>
      <c r="L38" s="102">
        <v>9.9201388888888895E-2</v>
      </c>
      <c r="M38" s="96">
        <v>70</v>
      </c>
      <c r="N38" s="96">
        <v>62</v>
      </c>
      <c r="O38" s="100">
        <v>0.84379729999999997</v>
      </c>
      <c r="P38" s="100">
        <v>0.79522187</v>
      </c>
      <c r="Q38" s="100">
        <v>0.58459073153615004</v>
      </c>
      <c r="R38" s="100">
        <v>0.81707317073170704</v>
      </c>
      <c r="S38" s="100">
        <v>0.76744186046511598</v>
      </c>
      <c r="T38" s="100">
        <v>0.79069763000000004</v>
      </c>
      <c r="U38" s="100">
        <v>0.71672356000000004</v>
      </c>
      <c r="V38" s="100">
        <v>0.42573102089923798</v>
      </c>
      <c r="W38" s="100">
        <v>0.74617737003058104</v>
      </c>
      <c r="X38" s="100">
        <v>0.67953667953667896</v>
      </c>
      <c r="Y38" s="98">
        <f>_xlfn.XLOOKUP(BinEksp[[#This Row],[Dataset (.h5)]],Datasett[Datasett (.h5)],Datasett[total]," ")</f>
        <v>1173</v>
      </c>
      <c r="Z38" s="99">
        <f>IFERROR(_xlfn.XLOOKUP(BinEksp[[#This Row],[Dataset (.h5)]],Datasett[Datasett (.h5)],Datasett[Normale]," ")/BinEksp[[#This Row],[Number of samples]]," ")</f>
        <v>0</v>
      </c>
      <c r="AA38" s="99">
        <f>IFERROR(_xlfn.XLOOKUP(BinEksp[[#This Row],[Dataset (.h5)]],Datasett[Datasett (.h5)],Datasett[1 artrose/sklerose]," ")/BinEksp[[#This Row],[Number of samples]]," ")</f>
        <v>0.43819266837169651</v>
      </c>
      <c r="AB38" s="99">
        <f>IFERROR(_xlfn.XLOOKUP(BinEksp[[#This Row],[Dataset (.h5)]],Datasett[Datasett (.h5)],Datasett[2 artrose]," ")/BinEksp[[#This Row],[Number of samples]]," ")</f>
        <v>0.21142369991474852</v>
      </c>
      <c r="AC38" s="99">
        <f>IFERROR(_xlfn.XLOOKUP(BinEksp[[#This Row],[Dataset (.h5)]],Datasett[Datasett (.h5)],Datasett[2 MCD]," ")/BinEksp[[#This Row],[Number of samples]]," ")</f>
        <v>9.0366581415174771E-2</v>
      </c>
      <c r="AD38" s="99">
        <f>IFERROR(_xlfn.XLOOKUP(BinEksp[[#This Row],[Dataset (.h5)]],Datasett[Datasett (.h5)],Datasett[3 artrose]," ")/BinEksp[[#This Row],[Number of samples]]," ")</f>
        <v>9.2071611253196933E-2</v>
      </c>
      <c r="AE38" s="99">
        <f>IFERROR(_xlfn.XLOOKUP(BinEksp[[#This Row],[Dataset (.h5)]],Datasett[Datasett (.h5)],Datasett[3 MCD]," ")/BinEksp[[#This Row],[Number of samples]]," ")</f>
        <v>0.14066496163682865</v>
      </c>
      <c r="AF38" s="99">
        <f>IFERROR(_xlfn.XLOOKUP(BinEksp[[#This Row],[Dataset (.h5)]],Datasett[Datasett (.h5)],Datasett[3 OCD]," ")/BinEksp[[#This Row],[Number of samples]]," ")</f>
        <v>6.8201193520886615E-3</v>
      </c>
      <c r="AG38" s="99">
        <f>IFERROR(_xlfn.XLOOKUP(BinEksp[[#This Row],[Dataset (.h5)]],Datasett[Datasett (.h5)],Datasett[3 UAP]," ")/BinEksp[[#This Row],[Number of samples]]," ")</f>
        <v>2.0460358056265986E-2</v>
      </c>
      <c r="AH38" s="101">
        <f>SUM(BinEksp[[#This Row],[1 artrose/ sklerose]:[3 UAP]])</f>
        <v>1</v>
      </c>
      <c r="AI38" s="115" t="str">
        <f>_xlfn.TEXTJOIN("_",TRUE,BinEksp[[#This Row],[Kompleksitet]],BinEksp[[#This Row],[Læringsrate]],IF(BinEksp[[#This Row],[Augmentering]]="ja","aug",""),IF(BinEksp[[#This Row],[Validering]]="ja","flip",""))</f>
        <v>B4_0.0001</v>
      </c>
      <c r="AJ38" s="99" t="s">
        <v>355</v>
      </c>
      <c r="AK38" s="99" t="str">
        <f>_xlfn.TEXTJOIN("_",TRUE,BinEksp[[#This Row],[Kompleksitet]],BinEksp[[#This Row],[Læringsrate]],IF(BinEksp[[#This Row],[Augmentering]]="ja","aug",""))</f>
        <v>B4_0.0001</v>
      </c>
      <c r="AL38" s="99" t="str">
        <f>_xlfn.TEXTJOIN("",TRUE,BinEksp[[#This Row],[Kompleksitet]],IF(BinEksp[[#This Row],[Augmentering]]="Ja","B","A"))</f>
        <v>B4A</v>
      </c>
    </row>
    <row r="39" spans="1:38" ht="45">
      <c r="A39" s="96">
        <v>11904248</v>
      </c>
      <c r="B39" s="116" t="s">
        <v>362</v>
      </c>
      <c r="C39" s="103"/>
      <c r="D39" s="96" t="s">
        <v>338</v>
      </c>
      <c r="E39" s="96" t="str">
        <f>_xlfn.TEXTJOIN("_",TRUE,BinEksp[[#This Row],[Kompleksitet]],BinEksp[[#This Row],[Dataset (.h5)]],_xlfn.TEXTJOIN("",TRUE,"bs",BinEksp[[#This Row],[Partistørrelse]]),BinEksp[[#This Row],[Læringsrate]],IF(BinEksp[[#This Row],[Augmentering]]="ja","aug",""),IF(BinEksp[[#This Row],[Validering]]="ja","flip",""))</f>
        <v>B2_800_lvl1_vs_rest_bs25_0.0001</v>
      </c>
      <c r="F39" s="96" t="s">
        <v>25</v>
      </c>
      <c r="G39" s="96">
        <v>1E-4</v>
      </c>
      <c r="H39" s="96" t="s">
        <v>208</v>
      </c>
      <c r="I39" s="96">
        <v>25</v>
      </c>
      <c r="J39" s="96" t="s">
        <v>208</v>
      </c>
      <c r="K39" s="96" t="s">
        <v>149</v>
      </c>
      <c r="L39" s="102">
        <v>0.13280092592592593</v>
      </c>
      <c r="M39" s="96">
        <v>70</v>
      </c>
      <c r="N39" s="96">
        <v>52</v>
      </c>
      <c r="O39" s="100">
        <v>0.78077655999999995</v>
      </c>
      <c r="P39" s="100">
        <v>0.70648460000000002</v>
      </c>
      <c r="Q39" s="100">
        <v>0.419462920610777</v>
      </c>
      <c r="R39" s="100">
        <v>0.72077922077921996</v>
      </c>
      <c r="S39" s="100">
        <v>0.69064748201438797</v>
      </c>
      <c r="T39" s="100">
        <v>0.77585554000000001</v>
      </c>
      <c r="U39" s="100">
        <v>0.68259389999999998</v>
      </c>
      <c r="V39" s="100">
        <v>0.38494989601058799</v>
      </c>
      <c r="W39" s="100">
        <v>0.68259385665529004</v>
      </c>
      <c r="X39" s="100">
        <v>0.68259385665529004</v>
      </c>
      <c r="Y39" s="98">
        <f>_xlfn.XLOOKUP(BinEksp[[#This Row],[Dataset (.h5)]],Datasett[Datasett (.h5)],Datasett[total]," ")</f>
        <v>1173</v>
      </c>
      <c r="Z39" s="99">
        <f>IFERROR(_xlfn.XLOOKUP(BinEksp[[#This Row],[Dataset (.h5)]],Datasett[Datasett (.h5)],Datasett[Normale]," ")/BinEksp[[#This Row],[Number of samples]]," ")</f>
        <v>0</v>
      </c>
      <c r="AA39" s="99">
        <f>IFERROR(_xlfn.XLOOKUP(BinEksp[[#This Row],[Dataset (.h5)]],Datasett[Datasett (.h5)],Datasett[1 artrose/sklerose]," ")/BinEksp[[#This Row],[Number of samples]]," ")</f>
        <v>0.43819266837169651</v>
      </c>
      <c r="AB39" s="99">
        <f>IFERROR(_xlfn.XLOOKUP(BinEksp[[#This Row],[Dataset (.h5)]],Datasett[Datasett (.h5)],Datasett[2 artrose]," ")/BinEksp[[#This Row],[Number of samples]]," ")</f>
        <v>0.21142369991474852</v>
      </c>
      <c r="AC39" s="99">
        <f>IFERROR(_xlfn.XLOOKUP(BinEksp[[#This Row],[Dataset (.h5)]],Datasett[Datasett (.h5)],Datasett[2 MCD]," ")/BinEksp[[#This Row],[Number of samples]]," ")</f>
        <v>9.0366581415174771E-2</v>
      </c>
      <c r="AD39" s="99">
        <f>IFERROR(_xlfn.XLOOKUP(BinEksp[[#This Row],[Dataset (.h5)]],Datasett[Datasett (.h5)],Datasett[3 artrose]," ")/BinEksp[[#This Row],[Number of samples]]," ")</f>
        <v>9.2071611253196933E-2</v>
      </c>
      <c r="AE39" s="99">
        <f>IFERROR(_xlfn.XLOOKUP(BinEksp[[#This Row],[Dataset (.h5)]],Datasett[Datasett (.h5)],Datasett[3 MCD]," ")/BinEksp[[#This Row],[Number of samples]]," ")</f>
        <v>0.14066496163682865</v>
      </c>
      <c r="AF39" s="99">
        <f>IFERROR(_xlfn.XLOOKUP(BinEksp[[#This Row],[Dataset (.h5)]],Datasett[Datasett (.h5)],Datasett[3 OCD]," ")/BinEksp[[#This Row],[Number of samples]]," ")</f>
        <v>6.8201193520886615E-3</v>
      </c>
      <c r="AG39" s="99">
        <f>IFERROR(_xlfn.XLOOKUP(BinEksp[[#This Row],[Dataset (.h5)]],Datasett[Datasett (.h5)],Datasett[3 UAP]," ")/BinEksp[[#This Row],[Number of samples]]," ")</f>
        <v>2.0460358056265986E-2</v>
      </c>
      <c r="AH39" s="101">
        <f>SUM(BinEksp[[#This Row],[1 artrose/ sklerose]:[3 UAP]])</f>
        <v>1</v>
      </c>
      <c r="AI39" s="115" t="str">
        <f>_xlfn.TEXTJOIN("_",TRUE,BinEksp[[#This Row],[Kompleksitet]],BinEksp[[#This Row],[Læringsrate]],IF(BinEksp[[#This Row],[Augmentering]]="ja","aug",""),IF(BinEksp[[#This Row],[Validering]]="ja","flip",""))</f>
        <v>B2_0.0001</v>
      </c>
      <c r="AJ39" s="99" t="s">
        <v>355</v>
      </c>
      <c r="AK39" s="99" t="str">
        <f>_xlfn.TEXTJOIN("_",TRUE,BinEksp[[#This Row],[Kompleksitet]],BinEksp[[#This Row],[Læringsrate]],IF(BinEksp[[#This Row],[Augmentering]]="ja","aug",""))</f>
        <v>B2_0.0001</v>
      </c>
      <c r="AL39" s="99" t="str">
        <f>_xlfn.TEXTJOIN("",TRUE,BinEksp[[#This Row],[Kompleksitet]],IF(BinEksp[[#This Row],[Augmentering]]="Ja","B","A"))</f>
        <v>B2A</v>
      </c>
    </row>
    <row r="40" spans="1:38" ht="45">
      <c r="A40" s="96">
        <v>11904251</v>
      </c>
      <c r="B40" s="116" t="s">
        <v>363</v>
      </c>
      <c r="C40" s="103"/>
      <c r="D40" s="96" t="s">
        <v>338</v>
      </c>
      <c r="E40" s="96" t="str">
        <f>_xlfn.TEXTJOIN("_",TRUE,BinEksp[[#This Row],[Kompleksitet]],BinEksp[[#This Row],[Dataset (.h5)]],_xlfn.TEXTJOIN("",TRUE,"bs",BinEksp[[#This Row],[Partistørrelse]]),BinEksp[[#This Row],[Læringsrate]],IF(BinEksp[[#This Row],[Augmentering]]="ja","aug",""),IF(BinEksp[[#This Row],[Validering]]="ja","flip",""))</f>
        <v>B3_800_lvl1_vs_rest_bs16_0.0001</v>
      </c>
      <c r="F40" s="96" t="s">
        <v>30</v>
      </c>
      <c r="G40" s="96">
        <v>1E-4</v>
      </c>
      <c r="H40" s="96" t="s">
        <v>208</v>
      </c>
      <c r="I40" s="96">
        <v>16</v>
      </c>
      <c r="J40" s="96" t="s">
        <v>208</v>
      </c>
      <c r="K40" s="96" t="s">
        <v>149</v>
      </c>
      <c r="L40" s="102">
        <v>0.11690972222222222</v>
      </c>
      <c r="M40" s="96">
        <v>70</v>
      </c>
      <c r="N40" s="96">
        <v>29</v>
      </c>
      <c r="O40" s="100">
        <v>0.81789780000000001</v>
      </c>
      <c r="P40" s="100">
        <v>0.75767916000000002</v>
      </c>
      <c r="Q40" s="100">
        <v>0.51367384693442197</v>
      </c>
      <c r="R40" s="100">
        <v>0.777429467084639</v>
      </c>
      <c r="S40" s="100">
        <v>0.734082397003745</v>
      </c>
      <c r="T40" s="100">
        <v>0.78400934</v>
      </c>
      <c r="U40" s="100">
        <v>0.70648460000000002</v>
      </c>
      <c r="V40" s="100">
        <v>0.401851591632581</v>
      </c>
      <c r="W40" s="100">
        <v>0.74251497005987999</v>
      </c>
      <c r="X40" s="100">
        <v>0.65873015873015806</v>
      </c>
      <c r="Y40" s="98">
        <f>_xlfn.XLOOKUP(BinEksp[[#This Row],[Dataset (.h5)]],Datasett[Datasett (.h5)],Datasett[total]," ")</f>
        <v>1173</v>
      </c>
      <c r="Z40" s="99">
        <f>IFERROR(_xlfn.XLOOKUP(BinEksp[[#This Row],[Dataset (.h5)]],Datasett[Datasett (.h5)],Datasett[Normale]," ")/BinEksp[[#This Row],[Number of samples]]," ")</f>
        <v>0</v>
      </c>
      <c r="AA40" s="99">
        <f>IFERROR(_xlfn.XLOOKUP(BinEksp[[#This Row],[Dataset (.h5)]],Datasett[Datasett (.h5)],Datasett[1 artrose/sklerose]," ")/BinEksp[[#This Row],[Number of samples]]," ")</f>
        <v>0.43819266837169651</v>
      </c>
      <c r="AB40" s="99">
        <f>IFERROR(_xlfn.XLOOKUP(BinEksp[[#This Row],[Dataset (.h5)]],Datasett[Datasett (.h5)],Datasett[2 artrose]," ")/BinEksp[[#This Row],[Number of samples]]," ")</f>
        <v>0.21142369991474852</v>
      </c>
      <c r="AC40" s="99">
        <f>IFERROR(_xlfn.XLOOKUP(BinEksp[[#This Row],[Dataset (.h5)]],Datasett[Datasett (.h5)],Datasett[2 MCD]," ")/BinEksp[[#This Row],[Number of samples]]," ")</f>
        <v>9.0366581415174771E-2</v>
      </c>
      <c r="AD40" s="99">
        <f>IFERROR(_xlfn.XLOOKUP(BinEksp[[#This Row],[Dataset (.h5)]],Datasett[Datasett (.h5)],Datasett[3 artrose]," ")/BinEksp[[#This Row],[Number of samples]]," ")</f>
        <v>9.2071611253196933E-2</v>
      </c>
      <c r="AE40" s="99">
        <f>IFERROR(_xlfn.XLOOKUP(BinEksp[[#This Row],[Dataset (.h5)]],Datasett[Datasett (.h5)],Datasett[3 MCD]," ")/BinEksp[[#This Row],[Number of samples]]," ")</f>
        <v>0.14066496163682865</v>
      </c>
      <c r="AF40" s="99">
        <f>IFERROR(_xlfn.XLOOKUP(BinEksp[[#This Row],[Dataset (.h5)]],Datasett[Datasett (.h5)],Datasett[3 OCD]," ")/BinEksp[[#This Row],[Number of samples]]," ")</f>
        <v>6.8201193520886615E-3</v>
      </c>
      <c r="AG40" s="99">
        <f>IFERROR(_xlfn.XLOOKUP(BinEksp[[#This Row],[Dataset (.h5)]],Datasett[Datasett (.h5)],Datasett[3 UAP]," ")/BinEksp[[#This Row],[Number of samples]]," ")</f>
        <v>2.0460358056265986E-2</v>
      </c>
      <c r="AH40" s="101">
        <f>SUM(BinEksp[[#This Row],[1 artrose/ sklerose]:[3 UAP]])</f>
        <v>1</v>
      </c>
      <c r="AI40" s="115" t="str">
        <f>_xlfn.TEXTJOIN("_",TRUE,BinEksp[[#This Row],[Kompleksitet]],BinEksp[[#This Row],[Læringsrate]],IF(BinEksp[[#This Row],[Augmentering]]="ja","aug",""),IF(BinEksp[[#This Row],[Validering]]="ja","flip",""))</f>
        <v>B3_0.0001</v>
      </c>
      <c r="AJ40" s="99" t="s">
        <v>355</v>
      </c>
      <c r="AK40" s="99" t="str">
        <f>_xlfn.TEXTJOIN("_",TRUE,BinEksp[[#This Row],[Kompleksitet]],BinEksp[[#This Row],[Læringsrate]],IF(BinEksp[[#This Row],[Augmentering]]="ja","aug",""))</f>
        <v>B3_0.0001</v>
      </c>
      <c r="AL40" s="99" t="str">
        <f>_xlfn.TEXTJOIN("",TRUE,BinEksp[[#This Row],[Kompleksitet]],IF(BinEksp[[#This Row],[Augmentering]]="Ja","B","A"))</f>
        <v>B3A</v>
      </c>
    </row>
    <row r="41" spans="1:38" ht="30">
      <c r="A41" s="96">
        <v>11939656</v>
      </c>
      <c r="B41" s="97" t="s">
        <v>407</v>
      </c>
      <c r="C41" s="103" t="s">
        <v>408</v>
      </c>
      <c r="D41" s="96" t="s">
        <v>367</v>
      </c>
      <c r="E41" s="96" t="str">
        <f>_xlfn.TEXTJOIN("_",TRUE,BinEksp[[#This Row],[Kompleksitet]],BinEksp[[#This Row],[Dataset (.h5)]],_xlfn.TEXTJOIN("",TRUE,"bs",BinEksp[[#This Row],[Partistørrelse]]),BinEksp[[#This Row],[Læringsrate]],IF(BinEksp[[#This Row],[Augmentering]]="ja","aug",""),IF(BinEksp[[#This Row],[Validering]]="ja","flip",""))</f>
        <v>B2_800_binary_error_predictor_2_bs16_0.0005</v>
      </c>
      <c r="F41" s="96" t="s">
        <v>25</v>
      </c>
      <c r="G41" s="96">
        <v>5.0000000000000001E-4</v>
      </c>
      <c r="H41" s="96" t="s">
        <v>208</v>
      </c>
      <c r="I41" s="96">
        <v>16</v>
      </c>
      <c r="J41" s="96" t="s">
        <v>208</v>
      </c>
      <c r="K41" s="96" t="s">
        <v>149</v>
      </c>
      <c r="L41" s="102"/>
      <c r="M41" s="96">
        <v>50</v>
      </c>
      <c r="N41" s="96">
        <v>50</v>
      </c>
      <c r="O41" s="100">
        <v>0.7518262</v>
      </c>
      <c r="P41" s="100">
        <v>0.69607839999999999</v>
      </c>
      <c r="Q41" s="100">
        <v>0.39223227027636798</v>
      </c>
      <c r="R41" s="100">
        <v>0.69902912621359203</v>
      </c>
      <c r="S41" s="100">
        <v>0.69306930693069302</v>
      </c>
      <c r="T41" s="100">
        <v>0.65859279999999998</v>
      </c>
      <c r="U41" s="100">
        <v>0.58823530000000002</v>
      </c>
      <c r="V41" s="100">
        <v>0.17996401079640101</v>
      </c>
      <c r="W41" s="100">
        <v>0.625</v>
      </c>
      <c r="X41" s="100">
        <v>0.54347826086956497</v>
      </c>
      <c r="Y41" s="98">
        <f>_xlfn.XLOOKUP(BinEksp[[#This Row],[Dataset (.h5)]],Datasett[Datasett (.h5)],Datasett[total]," ")</f>
        <v>410</v>
      </c>
      <c r="Z41" s="99">
        <f>IFERROR(_xlfn.XLOOKUP(BinEksp[[#This Row],[Dataset (.h5)]],Datasett[Datasett (.h5)],Datasett[Normale]," ")/BinEksp[[#This Row],[Number of samples]]," ")</f>
        <v>0.25121951219512195</v>
      </c>
      <c r="AA41" s="99">
        <f>IFERROR(_xlfn.XLOOKUP(BinEksp[[#This Row],[Dataset (.h5)]],Datasett[Datasett (.h5)],Datasett[1 artrose/sklerose]," ")/BinEksp[[#This Row],[Number of samples]]," ")</f>
        <v>0.3878048780487805</v>
      </c>
      <c r="AB41" s="99">
        <f>IFERROR(_xlfn.XLOOKUP(BinEksp[[#This Row],[Dataset (.h5)]],Datasett[Datasett (.h5)],Datasett[2 artrose]," ")/BinEksp[[#This Row],[Number of samples]]," ")</f>
        <v>0.10731707317073171</v>
      </c>
      <c r="AC41" s="99">
        <f>IFERROR(_xlfn.XLOOKUP(BinEksp[[#This Row],[Dataset (.h5)]],Datasett[Datasett (.h5)],Datasett[2 MCD]," ")/BinEksp[[#This Row],[Number of samples]]," ")</f>
        <v>0.11707317073170732</v>
      </c>
      <c r="AD41" s="99">
        <f>IFERROR(_xlfn.XLOOKUP(BinEksp[[#This Row],[Dataset (.h5)]],Datasett[Datasett (.h5)],Datasett[3 artrose]," ")/BinEksp[[#This Row],[Number of samples]]," ")</f>
        <v>4.6341463414634146E-2</v>
      </c>
      <c r="AE41" s="99">
        <f>IFERROR(_xlfn.XLOOKUP(BinEksp[[#This Row],[Dataset (.h5)]],Datasett[Datasett (.h5)],Datasett[3 MCD]," ")/BinEksp[[#This Row],[Number of samples]]," ")</f>
        <v>8.0487804878048783E-2</v>
      </c>
      <c r="AF41" s="99">
        <f>IFERROR(_xlfn.XLOOKUP(BinEksp[[#This Row],[Dataset (.h5)]],Datasett[Datasett (.h5)],Datasett[3 OCD]," ")/BinEksp[[#This Row],[Number of samples]]," ")</f>
        <v>2.4390243902439024E-3</v>
      </c>
      <c r="AG41" s="99">
        <f>IFERROR(_xlfn.XLOOKUP(BinEksp[[#This Row],[Dataset (.h5)]],Datasett[Datasett (.h5)],Datasett[3 UAP]," ")/BinEksp[[#This Row],[Number of samples]]," ")</f>
        <v>7.3170731707317077E-3</v>
      </c>
      <c r="AH41" s="101">
        <f>SUM(BinEksp[[#This Row],[1 artrose/ sklerose]:[3 UAP]])</f>
        <v>0.74878048780487805</v>
      </c>
      <c r="AI41" s="115" t="str">
        <f>_xlfn.TEXTJOIN("_",TRUE,BinEksp[[#This Row],[Kompleksitet]],BinEksp[[#This Row],[Læringsrate]],IF(BinEksp[[#This Row],[Augmentering]]="ja","aug",""),IF(BinEksp[[#This Row],[Validering]]="ja","flip",""))</f>
        <v>B2_0.0005</v>
      </c>
      <c r="AJ41" s="99" t="s">
        <v>410</v>
      </c>
      <c r="AK41" s="99" t="str">
        <f>_xlfn.TEXTJOIN("_",TRUE,BinEksp[[#This Row],[Kompleksitet]],BinEksp[[#This Row],[Læringsrate]],IF(BinEksp[[#This Row],[Augmentering]]="ja","aug",""))</f>
        <v>B2_0.0005</v>
      </c>
      <c r="AL41" s="99" t="str">
        <f>_xlfn.TEXTJOIN("",TRUE,BinEksp[[#This Row],[Kompleksitet]],IF(BinEksp[[#This Row],[Augmentering]]="Ja","B","A"))</f>
        <v>B2A</v>
      </c>
    </row>
    <row r="42" spans="1:38" ht="45">
      <c r="A42" s="96">
        <v>11939790</v>
      </c>
      <c r="B42" s="97" t="s">
        <v>366</v>
      </c>
      <c r="C42" s="103"/>
      <c r="D42" s="96" t="s">
        <v>220</v>
      </c>
      <c r="E42" s="96" t="str">
        <f>_xlfn.TEXTJOIN("_",TRUE,BinEksp[[#This Row],[Kompleksitet]],BinEksp[[#This Row],[Dataset (.h5)]],_xlfn.TEXTJOIN("",TRUE,"bs",BinEksp[[#This Row],[Partistørrelse]]),BinEksp[[#This Row],[Læringsrate]],IF(BinEksp[[#This Row],[Augmentering]]="ja","aug",""),IF(BinEksp[[#This Row],[Validering]]="ja","flip",""))</f>
        <v>B4_800_normal_abnormal_2_bs8_0.0005_aug_flip</v>
      </c>
      <c r="F42" s="96" t="s">
        <v>57</v>
      </c>
      <c r="G42" s="96">
        <v>5.0000000000000001E-4</v>
      </c>
      <c r="H42" s="96" t="s">
        <v>209</v>
      </c>
      <c r="I42" s="96">
        <v>8</v>
      </c>
      <c r="J42" s="96" t="s">
        <v>209</v>
      </c>
      <c r="K42" s="96" t="s">
        <v>149</v>
      </c>
      <c r="L42" s="102">
        <v>0.12251157407407408</v>
      </c>
      <c r="M42" s="96">
        <v>70</v>
      </c>
      <c r="N42" s="96">
        <v>57</v>
      </c>
      <c r="O42" s="100">
        <v>0.95757820000000005</v>
      </c>
      <c r="P42" s="100">
        <v>0.93014704999999998</v>
      </c>
      <c r="Q42" s="100">
        <v>0.85983747519461795</v>
      </c>
      <c r="R42" s="100">
        <v>0.93470790378006796</v>
      </c>
      <c r="S42" s="100">
        <v>0.92490118577075098</v>
      </c>
      <c r="T42" s="100">
        <v>0.97948294999999996</v>
      </c>
      <c r="U42" s="100">
        <v>0.94485295000000002</v>
      </c>
      <c r="V42" s="100">
        <v>0.88899981390330196</v>
      </c>
      <c r="W42" s="100">
        <v>0.94949494949494895</v>
      </c>
      <c r="X42" s="100">
        <v>0.93927125506072795</v>
      </c>
      <c r="Y42" s="98">
        <f>_xlfn.XLOOKUP(BinEksp[[#This Row],[Dataset (.h5)]],Datasett[Datasett (.h5)],Datasett[total]," ")</f>
        <v>1090</v>
      </c>
      <c r="Z42" s="99">
        <f>IFERROR(_xlfn.XLOOKUP(BinEksp[[#This Row],[Dataset (.h5)]],Datasett[Datasett (.h5)],Datasett[Normale]," ")/BinEksp[[#This Row],[Number of samples]]," ")</f>
        <v>0.45871559633027525</v>
      </c>
      <c r="AA42" s="99">
        <f>IFERROR(_xlfn.XLOOKUP(BinEksp[[#This Row],[Dataset (.h5)]],Datasett[Datasett (.h5)],Datasett[1 artrose/sklerose]," ")/BinEksp[[#This Row],[Number of samples]]," ")</f>
        <v>0.23577981651376148</v>
      </c>
      <c r="AB42" s="99">
        <f>IFERROR(_xlfn.XLOOKUP(BinEksp[[#This Row],[Dataset (.h5)]],Datasett[Datasett (.h5)],Datasett[2 artrose]," ")/BinEksp[[#This Row],[Number of samples]]," ")</f>
        <v>0.11376146788990826</v>
      </c>
      <c r="AC42" s="99">
        <f>IFERROR(_xlfn.XLOOKUP(BinEksp[[#This Row],[Dataset (.h5)]],Datasett[Datasett (.h5)],Datasett[2 MCD]," ")/BinEksp[[#This Row],[Number of samples]]," ")</f>
        <v>4.8623853211009177E-2</v>
      </c>
      <c r="AD42" s="99">
        <f>IFERROR(_xlfn.XLOOKUP(BinEksp[[#This Row],[Dataset (.h5)]],Datasett[Datasett (.h5)],Datasett[3 artrose]," ")/BinEksp[[#This Row],[Number of samples]]," ")</f>
        <v>4.9541284403669728E-2</v>
      </c>
      <c r="AE42" s="99">
        <f>IFERROR(_xlfn.XLOOKUP(BinEksp[[#This Row],[Dataset (.h5)]],Datasett[Datasett (.h5)],Datasett[3 MCD]," ")/BinEksp[[#This Row],[Number of samples]]," ")</f>
        <v>7.5229357798165142E-2</v>
      </c>
      <c r="AF42" s="99">
        <f>IFERROR(_xlfn.XLOOKUP(BinEksp[[#This Row],[Dataset (.h5)]],Datasett[Datasett (.h5)],Datasett[3 OCD]," ")/BinEksp[[#This Row],[Number of samples]]," ")</f>
        <v>7.3394495412844041E-3</v>
      </c>
      <c r="AG42" s="99">
        <f>IFERROR(_xlfn.XLOOKUP(BinEksp[[#This Row],[Dataset (.h5)]],Datasett[Datasett (.h5)],Datasett[3 UAP]," ")/BinEksp[[#This Row],[Number of samples]]," ")</f>
        <v>1.1009174311926606E-2</v>
      </c>
      <c r="AH42" s="101">
        <f>SUM(BinEksp[[#This Row],[1 artrose/ sklerose]:[3 UAP]])</f>
        <v>0.54128440366972475</v>
      </c>
      <c r="AI42" s="115" t="str">
        <f>_xlfn.TEXTJOIN("_",TRUE,BinEksp[[#This Row],[Kompleksitet]],BinEksp[[#This Row],[Læringsrate]],IF(BinEksp[[#This Row],[Augmentering]]="ja","aug",""),IF(BinEksp[[#This Row],[Validering]]="ja","flip",""))</f>
        <v>B4_0.0005_aug_flip</v>
      </c>
      <c r="AJ42" s="99" t="s">
        <v>340</v>
      </c>
      <c r="AK42" s="115" t="str">
        <f>_xlfn.TEXTJOIN("_",TRUE,BinEksp[[#This Row],[Kompleksitet]],BinEksp[[#This Row],[Læringsrate]],IF(BinEksp[[#This Row],[Augmentering]]="ja","aug",""))</f>
        <v>B4_0.0005_aug</v>
      </c>
      <c r="AL42" s="99" t="str">
        <f>_xlfn.TEXTJOIN("",TRUE,BinEksp[[#This Row],[Kompleksitet]],IF(BinEksp[[#This Row],[Augmentering]]="Ja","B","A"))</f>
        <v>B4B</v>
      </c>
    </row>
    <row r="43" spans="1:38" ht="45">
      <c r="A43" s="96">
        <v>11940878</v>
      </c>
      <c r="B43" s="97" t="s">
        <v>409</v>
      </c>
      <c r="C43" s="103" t="s">
        <v>408</v>
      </c>
      <c r="D43" s="96" t="s">
        <v>367</v>
      </c>
      <c r="E43" s="96" t="str">
        <f>_xlfn.TEXTJOIN("_",TRUE,BinEksp[[#This Row],[Kompleksitet]],BinEksp[[#This Row],[Dataset (.h5)]],_xlfn.TEXTJOIN("",TRUE,"bs",BinEksp[[#This Row],[Partistørrelse]]),BinEksp[[#This Row],[Læringsrate]],IF(BinEksp[[#This Row],[Augmentering]]="ja","aug",""),IF(BinEksp[[#This Row],[Validering]]="ja","flip",""))</f>
        <v>B4_800_binary_error_predictor_2_bs16_0.0005</v>
      </c>
      <c r="F43" s="96" t="s">
        <v>57</v>
      </c>
      <c r="G43" s="96">
        <v>5.0000000000000001E-4</v>
      </c>
      <c r="H43" s="96" t="s">
        <v>208</v>
      </c>
      <c r="I43" s="96">
        <v>16</v>
      </c>
      <c r="J43" s="96" t="s">
        <v>208</v>
      </c>
      <c r="K43" s="96" t="s">
        <v>149</v>
      </c>
      <c r="L43" s="102"/>
      <c r="M43" s="96">
        <v>50</v>
      </c>
      <c r="N43" s="96">
        <v>37</v>
      </c>
      <c r="O43" s="100">
        <v>0.70146109999999995</v>
      </c>
      <c r="P43" s="100">
        <v>0.68627450000000001</v>
      </c>
      <c r="Q43" s="100">
        <v>0.37283581643215502</v>
      </c>
      <c r="R43" s="100">
        <v>0.69230769230769196</v>
      </c>
      <c r="S43" s="100">
        <v>0.67999999999999905</v>
      </c>
      <c r="T43" s="100">
        <v>0.64686659999999996</v>
      </c>
      <c r="U43" s="100">
        <v>0.58823530000000002</v>
      </c>
      <c r="V43" s="100">
        <v>0.177015882970948</v>
      </c>
      <c r="W43" s="100">
        <v>0.60377358490566002</v>
      </c>
      <c r="X43" s="100">
        <v>0.57142857142857095</v>
      </c>
      <c r="Y43" s="98">
        <f>_xlfn.XLOOKUP(BinEksp[[#This Row],[Dataset (.h5)]],Datasett[Datasett (.h5)],Datasett[total]," ")</f>
        <v>410</v>
      </c>
      <c r="Z43" s="99">
        <f>IFERROR(_xlfn.XLOOKUP(BinEksp[[#This Row],[Dataset (.h5)]],Datasett[Datasett (.h5)],Datasett[Normale]," ")/BinEksp[[#This Row],[Number of samples]]," ")</f>
        <v>0.25121951219512195</v>
      </c>
      <c r="AA43" s="99">
        <f>IFERROR(_xlfn.XLOOKUP(BinEksp[[#This Row],[Dataset (.h5)]],Datasett[Datasett (.h5)],Datasett[1 artrose/sklerose]," ")/BinEksp[[#This Row],[Number of samples]]," ")</f>
        <v>0.3878048780487805</v>
      </c>
      <c r="AB43" s="99">
        <f>IFERROR(_xlfn.XLOOKUP(BinEksp[[#This Row],[Dataset (.h5)]],Datasett[Datasett (.h5)],Datasett[2 artrose]," ")/BinEksp[[#This Row],[Number of samples]]," ")</f>
        <v>0.10731707317073171</v>
      </c>
      <c r="AC43" s="99">
        <f>IFERROR(_xlfn.XLOOKUP(BinEksp[[#This Row],[Dataset (.h5)]],Datasett[Datasett (.h5)],Datasett[2 MCD]," ")/BinEksp[[#This Row],[Number of samples]]," ")</f>
        <v>0.11707317073170732</v>
      </c>
      <c r="AD43" s="99">
        <f>IFERROR(_xlfn.XLOOKUP(BinEksp[[#This Row],[Dataset (.h5)]],Datasett[Datasett (.h5)],Datasett[3 artrose]," ")/BinEksp[[#This Row],[Number of samples]]," ")</f>
        <v>4.6341463414634146E-2</v>
      </c>
      <c r="AE43" s="99">
        <f>IFERROR(_xlfn.XLOOKUP(BinEksp[[#This Row],[Dataset (.h5)]],Datasett[Datasett (.h5)],Datasett[3 MCD]," ")/BinEksp[[#This Row],[Number of samples]]," ")</f>
        <v>8.0487804878048783E-2</v>
      </c>
      <c r="AF43" s="99">
        <f>IFERROR(_xlfn.XLOOKUP(BinEksp[[#This Row],[Dataset (.h5)]],Datasett[Datasett (.h5)],Datasett[3 OCD]," ")/BinEksp[[#This Row],[Number of samples]]," ")</f>
        <v>2.4390243902439024E-3</v>
      </c>
      <c r="AG43" s="99">
        <f>IFERROR(_xlfn.XLOOKUP(BinEksp[[#This Row],[Dataset (.h5)]],Datasett[Datasett (.h5)],Datasett[3 UAP]," ")/BinEksp[[#This Row],[Number of samples]]," ")</f>
        <v>7.3170731707317077E-3</v>
      </c>
      <c r="AH43" s="101">
        <f>SUM(BinEksp[[#This Row],[1 artrose/ sklerose]:[3 UAP]])</f>
        <v>0.74878048780487805</v>
      </c>
      <c r="AI43" s="115" t="str">
        <f>_xlfn.TEXTJOIN("_",TRUE,BinEksp[[#This Row],[Kompleksitet]],BinEksp[[#This Row],[Læringsrate]],IF(BinEksp[[#This Row],[Augmentering]]="ja","aug",""),IF(BinEksp[[#This Row],[Validering]]="ja","flip",""))</f>
        <v>B4_0.0005</v>
      </c>
      <c r="AJ43" s="99" t="s">
        <v>410</v>
      </c>
      <c r="AK43" s="99" t="str">
        <f>_xlfn.TEXTJOIN("_",TRUE,BinEksp[[#This Row],[Kompleksitet]],BinEksp[[#This Row],[Læringsrate]],IF(BinEksp[[#This Row],[Augmentering]]="ja","aug",""))</f>
        <v>B4_0.0005</v>
      </c>
      <c r="AL43" s="99" t="str">
        <f>_xlfn.TEXTJOIN("",TRUE,BinEksp[[#This Row],[Kompleksitet]],IF(BinEksp[[#This Row],[Augmentering]]="Ja","B","A"))</f>
        <v>B4A</v>
      </c>
    </row>
    <row r="44" spans="1:38" ht="45">
      <c r="A44" s="96">
        <v>11940940</v>
      </c>
      <c r="B44" s="97" t="s">
        <v>372</v>
      </c>
      <c r="C44" s="103" t="s">
        <v>393</v>
      </c>
      <c r="D44" s="96" t="s">
        <v>370</v>
      </c>
      <c r="E44" s="96" t="str">
        <f>_xlfn.TEXTJOIN("_",TRUE,BinEksp[[#This Row],[Kompleksitet]],BinEksp[[#This Row],[Dataset (.h5)]],_xlfn.TEXTJOIN("",TRUE,"bs",BinEksp[[#This Row],[Partistørrelse]]),BinEksp[[#This Row],[Læringsrate]],IF(BinEksp[[#This Row],[Augmentering]]="ja","aug",""),IF(BinEksp[[#This Row],[Validering]]="ja","flip",""))</f>
        <v>B4_800_complete_ext_binary_2_bs8_0.0005_aug_flip</v>
      </c>
      <c r="F44" s="96" t="s">
        <v>57</v>
      </c>
      <c r="G44" s="96">
        <v>5.0000000000000001E-4</v>
      </c>
      <c r="H44" s="96" t="s">
        <v>209</v>
      </c>
      <c r="I44" s="96">
        <v>8</v>
      </c>
      <c r="J44" s="96" t="s">
        <v>209</v>
      </c>
      <c r="K44" s="96" t="s">
        <v>149</v>
      </c>
      <c r="L44" s="102">
        <v>3.1319444444444448E-2</v>
      </c>
      <c r="M44" s="96"/>
      <c r="N44" s="96"/>
      <c r="O44" s="100"/>
      <c r="P44" s="100"/>
      <c r="Q44" s="100"/>
      <c r="R44" s="100"/>
      <c r="S44" s="100"/>
      <c r="T44" s="117">
        <v>0.96155080000000004</v>
      </c>
      <c r="U44" s="100">
        <v>0.91834420000000005</v>
      </c>
      <c r="V44" s="100">
        <v>0.83671012526773803</v>
      </c>
      <c r="W44" s="100">
        <v>0.91752577319587603</v>
      </c>
      <c r="X44" s="100">
        <v>0.91914654688377295</v>
      </c>
      <c r="Y44" s="98">
        <f>_xlfn.XLOOKUP(BinEksp[[#This Row],[Dataset (.h5)]],Datasett[Datasett (.h5)],Datasett[total]," ")</f>
        <v>3527</v>
      </c>
      <c r="Z44" s="99">
        <f>IFERROR(_xlfn.XLOOKUP(BinEksp[[#This Row],[Dataset (.h5)]],Datasett[Datasett (.h5)],Datasett[Normale]," ")/BinEksp[[#This Row],[Number of samples]]," ")</f>
        <v>0.50269350722994044</v>
      </c>
      <c r="AA44" s="99">
        <f>IFERROR(_xlfn.XLOOKUP(BinEksp[[#This Row],[Dataset (.h5)]],Datasett[Datasett (.h5)],Datasett[1 artrose/sklerose]," ")/BinEksp[[#This Row],[Number of samples]]," ")</f>
        <v>0.21831584916359512</v>
      </c>
      <c r="AB44" s="99">
        <f>IFERROR(_xlfn.XLOOKUP(BinEksp[[#This Row],[Dataset (.h5)]],Datasett[Datasett (.h5)],Datasett[2 artrose]," ")/BinEksp[[#This Row],[Number of samples]]," ")</f>
        <v>0.10518854550609583</v>
      </c>
      <c r="AC44" s="99">
        <f>IFERROR(_xlfn.XLOOKUP(BinEksp[[#This Row],[Dataset (.h5)]],Datasett[Datasett (.h5)],Datasett[2 MCD]," ")/BinEksp[[#This Row],[Number of samples]]," ")</f>
        <v>4.5080805216898216E-2</v>
      </c>
      <c r="AD44" s="99">
        <f>IFERROR(_xlfn.XLOOKUP(BinEksp[[#This Row],[Dataset (.h5)]],Datasett[Datasett (.h5)],Datasett[3 artrose]," ")/BinEksp[[#This Row],[Number of samples]]," ")</f>
        <v>4.5931386447405728E-2</v>
      </c>
      <c r="AE44" s="99">
        <f>IFERROR(_xlfn.XLOOKUP(BinEksp[[#This Row],[Dataset (.h5)]],Datasett[Datasett (.h5)],Datasett[3 MCD]," ")/BinEksp[[#This Row],[Number of samples]]," ")</f>
        <v>7.0314715055287774E-2</v>
      </c>
      <c r="AF44" s="99">
        <f>IFERROR(_xlfn.XLOOKUP(BinEksp[[#This Row],[Dataset (.h5)]],Datasett[Datasett (.h5)],Datasett[3 OCD]," ")/BinEksp[[#This Row],[Number of samples]]," ")</f>
        <v>2.2682166146867026E-3</v>
      </c>
      <c r="AG44" s="99">
        <f>IFERROR(_xlfn.XLOOKUP(BinEksp[[#This Row],[Dataset (.h5)]],Datasett[Datasett (.h5)],Datasett[3 UAP]," ")/BinEksp[[#This Row],[Number of samples]]," ")</f>
        <v>1.0206974766090162E-2</v>
      </c>
      <c r="AH44" s="101">
        <f>SUM(BinEksp[[#This Row],[1 artrose/ sklerose]:[3 UAP]])</f>
        <v>0.49730649277005951</v>
      </c>
      <c r="AI44" s="115" t="str">
        <f>_xlfn.TEXTJOIN("_",TRUE,BinEksp[[#This Row],[Kompleksitet]],BinEksp[[#This Row],[Læringsrate]],IF(BinEksp[[#This Row],[Augmentering]]="ja","aug",""),IF(BinEksp[[#This Row],[Validering]]="ja","flip",""))</f>
        <v>B4_0.0005_aug_flip</v>
      </c>
      <c r="AJ44" s="99" t="s">
        <v>371</v>
      </c>
      <c r="AK44" s="99" t="str">
        <f>_xlfn.TEXTJOIN("_",TRUE,BinEksp[[#This Row],[Kompleksitet]],BinEksp[[#This Row],[Læringsrate]],IF(BinEksp[[#This Row],[Augmentering]]="ja","aug",""))</f>
        <v>B4_0.0005_aug</v>
      </c>
      <c r="AL44" s="99" t="str">
        <f>_xlfn.TEXTJOIN("",TRUE,BinEksp[[#This Row],[Kompleksitet]],IF(BinEksp[[#This Row],[Augmentering]]="Ja","B","A"))</f>
        <v>B4B</v>
      </c>
    </row>
    <row r="45" spans="1:38" ht="45">
      <c r="A45" s="96">
        <v>11940946</v>
      </c>
      <c r="B45" s="97" t="s">
        <v>373</v>
      </c>
      <c r="C45" s="103" t="s">
        <v>392</v>
      </c>
      <c r="D45" s="96" t="s">
        <v>370</v>
      </c>
      <c r="E45" s="96" t="str">
        <f>_xlfn.TEXTJOIN("_",TRUE,BinEksp[[#This Row],[Kompleksitet]],BinEksp[[#This Row],[Dataset (.h5)]],_xlfn.TEXTJOIN("",TRUE,"bs",BinEksp[[#This Row],[Partistørrelse]]),BinEksp[[#This Row],[Læringsrate]],IF(BinEksp[[#This Row],[Augmentering]]="ja","aug",""),IF(BinEksp[[#This Row],[Validering]]="ja","flip",""))</f>
        <v>B4_800_complete_ext_binary_2_bs8_0.0005_aug</v>
      </c>
      <c r="F45" s="96" t="s">
        <v>57</v>
      </c>
      <c r="G45" s="96">
        <v>5.0000000000000001E-4</v>
      </c>
      <c r="H45" s="96" t="s">
        <v>209</v>
      </c>
      <c r="I45" s="96">
        <v>8</v>
      </c>
      <c r="J45" s="96" t="s">
        <v>208</v>
      </c>
      <c r="K45" s="96" t="s">
        <v>149</v>
      </c>
      <c r="L45" s="102">
        <v>4.2673611111111114E-2</v>
      </c>
      <c r="M45" s="96"/>
      <c r="N45" s="96">
        <v>47</v>
      </c>
      <c r="O45" s="100"/>
      <c r="P45" s="100"/>
      <c r="Q45" s="100"/>
      <c r="R45" s="100"/>
      <c r="S45" s="100"/>
      <c r="T45" s="100">
        <v>0.96161220000000003</v>
      </c>
      <c r="U45" s="100">
        <v>0.91749364</v>
      </c>
      <c r="V45" s="100">
        <v>0.83505378093173099</v>
      </c>
      <c r="W45" s="100">
        <v>0.91645133505598597</v>
      </c>
      <c r="X45" s="100">
        <v>0.91851022122654702</v>
      </c>
      <c r="Y45" s="98">
        <f>_xlfn.XLOOKUP(BinEksp[[#This Row],[Dataset (.h5)]],Datasett[Datasett (.h5)],Datasett[total]," ")</f>
        <v>3527</v>
      </c>
      <c r="Z45" s="99">
        <f>IFERROR(_xlfn.XLOOKUP(BinEksp[[#This Row],[Dataset (.h5)]],Datasett[Datasett (.h5)],Datasett[Normale]," ")/BinEksp[[#This Row],[Number of samples]]," ")</f>
        <v>0.50269350722994044</v>
      </c>
      <c r="AA45" s="99">
        <f>IFERROR(_xlfn.XLOOKUP(BinEksp[[#This Row],[Dataset (.h5)]],Datasett[Datasett (.h5)],Datasett[1 artrose/sklerose]," ")/BinEksp[[#This Row],[Number of samples]]," ")</f>
        <v>0.21831584916359512</v>
      </c>
      <c r="AB45" s="99">
        <f>IFERROR(_xlfn.XLOOKUP(BinEksp[[#This Row],[Dataset (.h5)]],Datasett[Datasett (.h5)],Datasett[2 artrose]," ")/BinEksp[[#This Row],[Number of samples]]," ")</f>
        <v>0.10518854550609583</v>
      </c>
      <c r="AC45" s="99">
        <f>IFERROR(_xlfn.XLOOKUP(BinEksp[[#This Row],[Dataset (.h5)]],Datasett[Datasett (.h5)],Datasett[2 MCD]," ")/BinEksp[[#This Row],[Number of samples]]," ")</f>
        <v>4.5080805216898216E-2</v>
      </c>
      <c r="AD45" s="99">
        <f>IFERROR(_xlfn.XLOOKUP(BinEksp[[#This Row],[Dataset (.h5)]],Datasett[Datasett (.h5)],Datasett[3 artrose]," ")/BinEksp[[#This Row],[Number of samples]]," ")</f>
        <v>4.5931386447405728E-2</v>
      </c>
      <c r="AE45" s="99">
        <f>IFERROR(_xlfn.XLOOKUP(BinEksp[[#This Row],[Dataset (.h5)]],Datasett[Datasett (.h5)],Datasett[3 MCD]," ")/BinEksp[[#This Row],[Number of samples]]," ")</f>
        <v>7.0314715055287774E-2</v>
      </c>
      <c r="AF45" s="99">
        <f>IFERROR(_xlfn.XLOOKUP(BinEksp[[#This Row],[Dataset (.h5)]],Datasett[Datasett (.h5)],Datasett[3 OCD]," ")/BinEksp[[#This Row],[Number of samples]]," ")</f>
        <v>2.2682166146867026E-3</v>
      </c>
      <c r="AG45" s="99">
        <f>IFERROR(_xlfn.XLOOKUP(BinEksp[[#This Row],[Dataset (.h5)]],Datasett[Datasett (.h5)],Datasett[3 UAP]," ")/BinEksp[[#This Row],[Number of samples]]," ")</f>
        <v>1.0206974766090162E-2</v>
      </c>
      <c r="AH45" s="101">
        <f>SUM(BinEksp[[#This Row],[1 artrose/ sklerose]:[3 UAP]])</f>
        <v>0.49730649277005951</v>
      </c>
      <c r="AI45" s="115" t="str">
        <f>_xlfn.TEXTJOIN("_",TRUE,BinEksp[[#This Row],[Kompleksitet]],BinEksp[[#This Row],[Læringsrate]],IF(BinEksp[[#This Row],[Augmentering]]="ja","aug",""),IF(BinEksp[[#This Row],[Validering]]="ja","flip",""))</f>
        <v>B4_0.0005_aug</v>
      </c>
      <c r="AJ45" s="99" t="s">
        <v>371</v>
      </c>
      <c r="AK45" s="99" t="str">
        <f>_xlfn.TEXTJOIN("_",TRUE,BinEksp[[#This Row],[Kompleksitet]],BinEksp[[#This Row],[Læringsrate]],IF(BinEksp[[#This Row],[Augmentering]]="ja","aug",""))</f>
        <v>B4_0.0005_aug</v>
      </c>
      <c r="AL45" s="99" t="str">
        <f>_xlfn.TEXTJOIN("",TRUE,BinEksp[[#This Row],[Kompleksitet]],IF(BinEksp[[#This Row],[Augmentering]]="Ja","B","A"))</f>
        <v>B4B</v>
      </c>
    </row>
    <row r="46" spans="1:38" ht="48">
      <c r="A46" s="32">
        <v>11941044</v>
      </c>
      <c r="B46" s="34" t="s">
        <v>381</v>
      </c>
      <c r="C46" s="43" t="s">
        <v>394</v>
      </c>
      <c r="D46" s="32" t="s">
        <v>377</v>
      </c>
      <c r="E46" s="32" t="s">
        <v>383</v>
      </c>
      <c r="F46" s="32" t="s">
        <v>57</v>
      </c>
      <c r="G46" s="32">
        <v>5.0000000000000001E-4</v>
      </c>
      <c r="H46" s="32" t="s">
        <v>209</v>
      </c>
      <c r="I46" s="32">
        <v>8</v>
      </c>
      <c r="J46" s="32" t="s">
        <v>209</v>
      </c>
      <c r="K46" s="32" t="s">
        <v>149</v>
      </c>
      <c r="L46" s="52">
        <v>3.1261574074074074E-2</v>
      </c>
      <c r="M46" s="32">
        <v>50</v>
      </c>
      <c r="N46" s="32">
        <v>129</v>
      </c>
      <c r="O46" s="118">
        <v>0.76825399999999999</v>
      </c>
      <c r="P46" s="118">
        <v>0.80555560000000004</v>
      </c>
      <c r="Q46" s="118">
        <v>0.5971484496103</v>
      </c>
      <c r="R46" s="118">
        <v>0.837209302325581</v>
      </c>
      <c r="S46" s="118">
        <v>0.75862068965517204</v>
      </c>
      <c r="T46" s="118">
        <v>0.96450645000000002</v>
      </c>
      <c r="U46" s="118">
        <v>0.95138889999999998</v>
      </c>
      <c r="V46" s="118">
        <v>0.89933347705025102</v>
      </c>
      <c r="W46" s="118">
        <v>0.95906432748537995</v>
      </c>
      <c r="X46" s="118">
        <v>0.94017094017094005</v>
      </c>
      <c r="Y46" s="32">
        <f>_xlfn.XLOOKUP(BinEksp[[#This Row],[Dataset (.h5)]],Datasett[Datasett (.h5)],Datasett[total]," ")</f>
        <v>144</v>
      </c>
      <c r="Z46" s="29">
        <f>IFERROR(_xlfn.XLOOKUP(BinEksp[[#This Row],[Dataset (.h5)]],Datasett[Datasett (.h5)],Datasett[Normale]," ")/BinEksp[[#This Row],[Number of samples]]," ")</f>
        <v>0.40972222222222221</v>
      </c>
      <c r="AA46" s="29">
        <f>IFERROR(_xlfn.XLOOKUP(BinEksp[[#This Row],[Dataset (.h5)]],Datasett[Datasett (.h5)],Datasett[1 artrose/sklerose]," ")/BinEksp[[#This Row],[Number of samples]]," ")</f>
        <v>0.27777777777777779</v>
      </c>
      <c r="AB46" s="29">
        <f>IFERROR(_xlfn.XLOOKUP(BinEksp[[#This Row],[Dataset (.h5)]],Datasett[Datasett (.h5)],Datasett[2 artrose]," ")/BinEksp[[#This Row],[Number of samples]]," ")</f>
        <v>5.5555555555555552E-2</v>
      </c>
      <c r="AC46" s="29">
        <f>IFERROR(_xlfn.XLOOKUP(BinEksp[[#This Row],[Dataset (.h5)]],Datasett[Datasett (.h5)],Datasett[2 MCD]," ")/BinEksp[[#This Row],[Number of samples]]," ")</f>
        <v>0.1875</v>
      </c>
      <c r="AD46" s="29">
        <f>IFERROR(_xlfn.XLOOKUP(BinEksp[[#This Row],[Dataset (.h5)]],Datasett[Datasett (.h5)],Datasett[3 artrose]," ")/BinEksp[[#This Row],[Number of samples]]," ")</f>
        <v>6.9444444444444441E-3</v>
      </c>
      <c r="AE46" s="29">
        <f>IFERROR(_xlfn.XLOOKUP(BinEksp[[#This Row],[Dataset (.h5)]],Datasett[Datasett (.h5)],Datasett[3 MCD]," ")/BinEksp[[#This Row],[Number of samples]]," ")</f>
        <v>6.25E-2</v>
      </c>
      <c r="AF46" s="29">
        <f>IFERROR(_xlfn.XLOOKUP(BinEksp[[#This Row],[Dataset (.h5)]],Datasett[Datasett (.h5)],Datasett[3 OCD]," ")/BinEksp[[#This Row],[Number of samples]]," ")</f>
        <v>0</v>
      </c>
      <c r="AG46" s="29">
        <f>IFERROR(_xlfn.XLOOKUP(BinEksp[[#This Row],[Dataset (.h5)]],Datasett[Datasett (.h5)],Datasett[3 UAP]," ")/BinEksp[[#This Row],[Number of samples]]," ")</f>
        <v>0</v>
      </c>
      <c r="AH46" s="29">
        <f>SUM(BinEksp[[#This Row],[1 artrose/ sklerose]:[3 UAP]])</f>
        <v>0.59027777777777779</v>
      </c>
      <c r="AI46" s="55" t="str">
        <f>_xlfn.TEXTJOIN("_",TRUE,BinEksp[[#This Row],[Kompleksitet]],BinEksp[[#This Row],[Læringsrate]],IF(BinEksp[[#This Row],[Augmentering]]="ja","aug",""),IF(BinEksp[[#This Row],[Validering]]="ja","flip",""))</f>
        <v>B4_0.0005_aug_flip</v>
      </c>
      <c r="AJ46" s="29" t="s">
        <v>376</v>
      </c>
      <c r="AK46" s="99" t="str">
        <f>_xlfn.TEXTJOIN("_",TRUE,BinEksp[[#This Row],[Kompleksitet]],BinEksp[[#This Row],[Læringsrate]],IF(BinEksp[[#This Row],[Augmentering]]="ja","aug",""))</f>
        <v>B4_0.0005_aug</v>
      </c>
      <c r="AL46" s="99" t="str">
        <f>_xlfn.TEXTJOIN("",TRUE,BinEksp[[#This Row],[Kompleksitet]],IF(BinEksp[[#This Row],[Augmentering]]="Ja","B","A"))</f>
        <v>B4B</v>
      </c>
    </row>
    <row r="47" spans="1:38" ht="64">
      <c r="A47" s="32">
        <v>11941185</v>
      </c>
      <c r="B47" s="34" t="s">
        <v>385</v>
      </c>
      <c r="C47" s="43" t="s">
        <v>395</v>
      </c>
      <c r="D47" s="32" t="s">
        <v>375</v>
      </c>
      <c r="E47" s="43" t="s">
        <v>386</v>
      </c>
      <c r="F47" s="32" t="s">
        <v>57</v>
      </c>
      <c r="G47" s="32">
        <v>5.0000000000000001E-4</v>
      </c>
      <c r="H47" s="32" t="s">
        <v>209</v>
      </c>
      <c r="I47" s="32">
        <v>8</v>
      </c>
      <c r="J47" s="32" t="s">
        <v>209</v>
      </c>
      <c r="K47" s="32" t="s">
        <v>149</v>
      </c>
      <c r="L47" s="52">
        <v>4.1203703703703708E-2</v>
      </c>
      <c r="M47" s="32"/>
      <c r="N47" s="32">
        <v>129</v>
      </c>
      <c r="O47" s="118"/>
      <c r="P47" s="118"/>
      <c r="Q47" s="118"/>
      <c r="R47" s="118"/>
      <c r="S47" s="118"/>
      <c r="T47" s="118">
        <v>0.53894407</v>
      </c>
      <c r="U47" s="118">
        <v>0.54360039999999998</v>
      </c>
      <c r="V47" s="118">
        <v>9.7013630795389105E-2</v>
      </c>
      <c r="W47" s="118">
        <v>0.60592138846350097</v>
      </c>
      <c r="X47" s="118">
        <v>0.45786516853932502</v>
      </c>
      <c r="Y47" s="32">
        <f>_xlfn.XLOOKUP(BinEksp[[#This Row],[Dataset (.h5)]],Datasett[Datasett (.h5)],Datasett[total]," ")</f>
        <v>3383</v>
      </c>
      <c r="Z47" s="29">
        <f>IFERROR(_xlfn.XLOOKUP(BinEksp[[#This Row],[Dataset (.h5)]],Datasett[Datasett (.h5)],Datasett[Normale]," ")/BinEksp[[#This Row],[Number of samples]]," ")</f>
        <v>0.50665090156665682</v>
      </c>
      <c r="AA47" s="29">
        <f>IFERROR(_xlfn.XLOOKUP(BinEksp[[#This Row],[Dataset (.h5)]],Datasett[Datasett (.h5)],Datasett[1 artrose/sklerose]," ")/BinEksp[[#This Row],[Number of samples]]," ")</f>
        <v>0.2157848063848655</v>
      </c>
      <c r="AB47" s="29">
        <f>IFERROR(_xlfn.XLOOKUP(BinEksp[[#This Row],[Dataset (.h5)]],Datasett[Datasett (.h5)],Datasett[2 artrose]," ")/BinEksp[[#This Row],[Number of samples]]," ")</f>
        <v>0.10730121194206325</v>
      </c>
      <c r="AC47" s="29">
        <f>IFERROR(_xlfn.XLOOKUP(BinEksp[[#This Row],[Dataset (.h5)]],Datasett[Datasett (.h5)],Datasett[2 MCD]," ")/BinEksp[[#This Row],[Number of samples]]," ")</f>
        <v>3.9018622524386641E-2</v>
      </c>
      <c r="AD47" s="29">
        <f>IFERROR(_xlfn.XLOOKUP(BinEksp[[#This Row],[Dataset (.h5)]],Datasett[Datasett (.h5)],Datasett[3 artrose]," ")/BinEksp[[#This Row],[Number of samples]]," ")</f>
        <v>4.7590895654744308E-2</v>
      </c>
      <c r="AE47" s="29">
        <f>IFERROR(_xlfn.XLOOKUP(BinEksp[[#This Row],[Dataset (.h5)]],Datasett[Datasett (.h5)],Datasett[3 MCD]," ")/BinEksp[[#This Row],[Number of samples]]," ")</f>
        <v>7.0647354419154595E-2</v>
      </c>
      <c r="AF47" s="29">
        <f>IFERROR(_xlfn.XLOOKUP(BinEksp[[#This Row],[Dataset (.h5)]],Datasett[Datasett (.h5)],Datasett[3 OCD]," ")/BinEksp[[#This Row],[Number of samples]]," ")</f>
        <v>2.3647650014779783E-3</v>
      </c>
      <c r="AG47" s="29">
        <f>IFERROR(_xlfn.XLOOKUP(BinEksp[[#This Row],[Dataset (.h5)]],Datasett[Datasett (.h5)],Datasett[3 UAP]," ")/BinEksp[[#This Row],[Number of samples]]," ")</f>
        <v>1.0641442506650901E-2</v>
      </c>
      <c r="AH47" s="29">
        <f>SUM(BinEksp[[#This Row],[1 artrose/ sklerose]:[3 UAP]])</f>
        <v>0.49334909843334318</v>
      </c>
      <c r="AI47" s="55" t="str">
        <f>_xlfn.TEXTJOIN("_",TRUE,BinEksp[[#This Row],[Kompleksitet]],BinEksp[[#This Row],[Læringsrate]],IF(BinEksp[[#This Row],[Augmentering]]="ja","aug",""),IF(BinEksp[[#This Row],[Validering]]="ja","flip",""))</f>
        <v>B4_0.0005_aug_flip</v>
      </c>
      <c r="AJ47" s="29" t="s">
        <v>371</v>
      </c>
      <c r="AK47" s="99" t="str">
        <f>_xlfn.TEXTJOIN("_",TRUE,BinEksp[[#This Row],[Kompleksitet]],BinEksp[[#This Row],[Læringsrate]],IF(BinEksp[[#This Row],[Augmentering]]="ja","aug",""))</f>
        <v>B4_0.0005_aug</v>
      </c>
      <c r="AL47" s="99" t="str">
        <f>_xlfn.TEXTJOIN("",TRUE,BinEksp[[#This Row],[Kompleksitet]],IF(BinEksp[[#This Row],[Augmentering]]="Ja","B","A"))</f>
        <v>B4B</v>
      </c>
    </row>
    <row r="48" spans="1:38" ht="80">
      <c r="A48" s="32">
        <v>11947687</v>
      </c>
      <c r="B48" s="34" t="s">
        <v>378</v>
      </c>
      <c r="C48" s="43" t="s">
        <v>387</v>
      </c>
      <c r="D48" s="32" t="s">
        <v>377</v>
      </c>
      <c r="E48" s="32" t="s">
        <v>383</v>
      </c>
      <c r="F48" s="32" t="s">
        <v>57</v>
      </c>
      <c r="G48" s="32">
        <v>5.0000000000000001E-4</v>
      </c>
      <c r="H48" s="32" t="s">
        <v>209</v>
      </c>
      <c r="I48" s="32">
        <v>8</v>
      </c>
      <c r="J48" s="32" t="s">
        <v>209</v>
      </c>
      <c r="K48" s="32" t="s">
        <v>149</v>
      </c>
      <c r="L48" s="52">
        <v>2.9317129629629634E-2</v>
      </c>
      <c r="M48" s="32">
        <v>50</v>
      </c>
      <c r="N48" s="32">
        <v>507</v>
      </c>
      <c r="O48" s="118">
        <v>0.81587297000000003</v>
      </c>
      <c r="P48" s="118">
        <v>0.80555560000000004</v>
      </c>
      <c r="Q48" s="118">
        <v>0.5971484496103</v>
      </c>
      <c r="R48" s="118">
        <v>0.837209302325581</v>
      </c>
      <c r="S48" s="118">
        <v>0.75862068965517204</v>
      </c>
      <c r="T48" s="118">
        <v>0.98025923999999998</v>
      </c>
      <c r="U48" s="118">
        <v>0.94444439999999996</v>
      </c>
      <c r="V48" s="118">
        <v>0.88491468993605504</v>
      </c>
      <c r="W48" s="118">
        <v>0.95348837209302295</v>
      </c>
      <c r="X48" s="118">
        <v>0.93103448275862</v>
      </c>
      <c r="Y48" s="32">
        <f>_xlfn.XLOOKUP(BinEksp[[#This Row],[Dataset (.h5)]],Datasett[Datasett (.h5)],Datasett[total]," ")</f>
        <v>144</v>
      </c>
      <c r="Z48" s="29">
        <f>IFERROR(_xlfn.XLOOKUP(BinEksp[[#This Row],[Dataset (.h5)]],Datasett[Datasett (.h5)],Datasett[Normale]," ")/BinEksp[[#This Row],[Number of samples]]," ")</f>
        <v>0.40972222222222221</v>
      </c>
      <c r="AA48" s="29">
        <f>IFERROR(_xlfn.XLOOKUP(BinEksp[[#This Row],[Dataset (.h5)]],Datasett[Datasett (.h5)],Datasett[1 artrose/sklerose]," ")/BinEksp[[#This Row],[Number of samples]]," ")</f>
        <v>0.27777777777777779</v>
      </c>
      <c r="AB48" s="29">
        <f>IFERROR(_xlfn.XLOOKUP(BinEksp[[#This Row],[Dataset (.h5)]],Datasett[Datasett (.h5)],Datasett[2 artrose]," ")/BinEksp[[#This Row],[Number of samples]]," ")</f>
        <v>5.5555555555555552E-2</v>
      </c>
      <c r="AC48" s="29">
        <f>IFERROR(_xlfn.XLOOKUP(BinEksp[[#This Row],[Dataset (.h5)]],Datasett[Datasett (.h5)],Datasett[2 MCD]," ")/BinEksp[[#This Row],[Number of samples]]," ")</f>
        <v>0.1875</v>
      </c>
      <c r="AD48" s="29">
        <f>IFERROR(_xlfn.XLOOKUP(BinEksp[[#This Row],[Dataset (.h5)]],Datasett[Datasett (.h5)],Datasett[3 artrose]," ")/BinEksp[[#This Row],[Number of samples]]," ")</f>
        <v>6.9444444444444441E-3</v>
      </c>
      <c r="AE48" s="29">
        <f>IFERROR(_xlfn.XLOOKUP(BinEksp[[#This Row],[Dataset (.h5)]],Datasett[Datasett (.h5)],Datasett[3 MCD]," ")/BinEksp[[#This Row],[Number of samples]]," ")</f>
        <v>6.25E-2</v>
      </c>
      <c r="AF48" s="29">
        <f>IFERROR(_xlfn.XLOOKUP(BinEksp[[#This Row],[Dataset (.h5)]],Datasett[Datasett (.h5)],Datasett[3 OCD]," ")/BinEksp[[#This Row],[Number of samples]]," ")</f>
        <v>0</v>
      </c>
      <c r="AG48" s="29">
        <f>IFERROR(_xlfn.XLOOKUP(BinEksp[[#This Row],[Dataset (.h5)]],Datasett[Datasett (.h5)],Datasett[3 UAP]," ")/BinEksp[[#This Row],[Number of samples]]," ")</f>
        <v>0</v>
      </c>
      <c r="AH48" s="29">
        <f>SUM(BinEksp[[#This Row],[1 artrose/ sklerose]:[3 UAP]])</f>
        <v>0.59027777777777779</v>
      </c>
      <c r="AI48" s="55" t="str">
        <f>_xlfn.TEXTJOIN("_",TRUE,BinEksp[[#This Row],[Kompleksitet]],BinEksp[[#This Row],[Læringsrate]],IF(BinEksp[[#This Row],[Augmentering]]="ja","aug",""),IF(BinEksp[[#This Row],[Validering]]="ja","flip",""))</f>
        <v>B4_0.0005_aug_flip</v>
      </c>
      <c r="AJ48" s="29" t="s">
        <v>376</v>
      </c>
      <c r="AK48" s="99" t="str">
        <f>_xlfn.TEXTJOIN("_",TRUE,BinEksp[[#This Row],[Kompleksitet]],BinEksp[[#This Row],[Læringsrate]],IF(BinEksp[[#This Row],[Augmentering]]="ja","aug",""))</f>
        <v>B4_0.0005_aug</v>
      </c>
      <c r="AL48" s="99" t="str">
        <f>_xlfn.TEXTJOIN("",TRUE,BinEksp[[#This Row],[Kompleksitet]],IF(BinEksp[[#This Row],[Augmentering]]="Ja","B","A"))</f>
        <v>B4B</v>
      </c>
    </row>
    <row r="49" spans="1:38" ht="80">
      <c r="A49" s="32">
        <v>11948798</v>
      </c>
      <c r="B49" s="34" t="s">
        <v>385</v>
      </c>
      <c r="C49" s="43" t="s">
        <v>391</v>
      </c>
      <c r="D49" s="32" t="s">
        <v>375</v>
      </c>
      <c r="E49" s="43" t="s">
        <v>386</v>
      </c>
      <c r="F49" s="32" t="s">
        <v>57</v>
      </c>
      <c r="G49" s="32">
        <v>5.0000000000000001E-4</v>
      </c>
      <c r="H49" s="32" t="s">
        <v>209</v>
      </c>
      <c r="I49" s="32">
        <v>8</v>
      </c>
      <c r="J49" s="32" t="s">
        <v>209</v>
      </c>
      <c r="K49" s="32" t="s">
        <v>149</v>
      </c>
      <c r="L49" s="52">
        <v>3.4560185185185187E-2</v>
      </c>
      <c r="M49" s="32"/>
      <c r="N49" s="32">
        <v>57</v>
      </c>
      <c r="O49" s="118"/>
      <c r="P49" s="118"/>
      <c r="Q49" s="118"/>
      <c r="R49" s="118"/>
      <c r="S49" s="118"/>
      <c r="T49" s="118">
        <v>0.97948294999999996</v>
      </c>
      <c r="U49" s="118">
        <v>0.94485295000000002</v>
      </c>
      <c r="V49" s="118">
        <v>0.88899981390330196</v>
      </c>
      <c r="W49" s="118">
        <v>0.94949494949494895</v>
      </c>
      <c r="X49" s="118">
        <v>0.93927125506072795</v>
      </c>
      <c r="Y49" s="32">
        <f>_xlfn.XLOOKUP(BinEksp[[#This Row],[Dataset (.h5)]],Datasett[Datasett (.h5)],Datasett[total]," ")</f>
        <v>3383</v>
      </c>
      <c r="Z49" s="29">
        <f>IFERROR(_xlfn.XLOOKUP(BinEksp[[#This Row],[Dataset (.h5)]],Datasett[Datasett (.h5)],Datasett[Normale]," ")/BinEksp[[#This Row],[Number of samples]]," ")</f>
        <v>0.50665090156665682</v>
      </c>
      <c r="AA49" s="29">
        <f>IFERROR(_xlfn.XLOOKUP(BinEksp[[#This Row],[Dataset (.h5)]],Datasett[Datasett (.h5)],Datasett[1 artrose/sklerose]," ")/BinEksp[[#This Row],[Number of samples]]," ")</f>
        <v>0.2157848063848655</v>
      </c>
      <c r="AB49" s="29">
        <f>IFERROR(_xlfn.XLOOKUP(BinEksp[[#This Row],[Dataset (.h5)]],Datasett[Datasett (.h5)],Datasett[2 artrose]," ")/BinEksp[[#This Row],[Number of samples]]," ")</f>
        <v>0.10730121194206325</v>
      </c>
      <c r="AC49" s="29">
        <f>IFERROR(_xlfn.XLOOKUP(BinEksp[[#This Row],[Dataset (.h5)]],Datasett[Datasett (.h5)],Datasett[2 MCD]," ")/BinEksp[[#This Row],[Number of samples]]," ")</f>
        <v>3.9018622524386641E-2</v>
      </c>
      <c r="AD49" s="29">
        <f>IFERROR(_xlfn.XLOOKUP(BinEksp[[#This Row],[Dataset (.h5)]],Datasett[Datasett (.h5)],Datasett[3 artrose]," ")/BinEksp[[#This Row],[Number of samples]]," ")</f>
        <v>4.7590895654744308E-2</v>
      </c>
      <c r="AE49" s="29">
        <f>IFERROR(_xlfn.XLOOKUP(BinEksp[[#This Row],[Dataset (.h5)]],Datasett[Datasett (.h5)],Datasett[3 MCD]," ")/BinEksp[[#This Row],[Number of samples]]," ")</f>
        <v>7.0647354419154595E-2</v>
      </c>
      <c r="AF49" s="29">
        <f>IFERROR(_xlfn.XLOOKUP(BinEksp[[#This Row],[Dataset (.h5)]],Datasett[Datasett (.h5)],Datasett[3 OCD]," ")/BinEksp[[#This Row],[Number of samples]]," ")</f>
        <v>2.3647650014779783E-3</v>
      </c>
      <c r="AG49" s="29">
        <f>IFERROR(_xlfn.XLOOKUP(BinEksp[[#This Row],[Dataset (.h5)]],Datasett[Datasett (.h5)],Datasett[3 UAP]," ")/BinEksp[[#This Row],[Number of samples]]," ")</f>
        <v>1.0641442506650901E-2</v>
      </c>
      <c r="AH49" s="29">
        <f>SUM(BinEksp[[#This Row],[1 artrose/ sklerose]:[3 UAP]])</f>
        <v>0.49334909843334318</v>
      </c>
      <c r="AI49" s="55" t="str">
        <f>_xlfn.TEXTJOIN("_",TRUE,BinEksp[[#This Row],[Kompleksitet]],BinEksp[[#This Row],[Læringsrate]],IF(BinEksp[[#This Row],[Augmentering]]="ja","aug",""),IF(BinEksp[[#This Row],[Validering]]="ja","flip",""))</f>
        <v>B4_0.0005_aug_flip</v>
      </c>
      <c r="AJ49" s="29" t="s">
        <v>371</v>
      </c>
      <c r="AK49" s="99" t="str">
        <f>_xlfn.TEXTJOIN("_",TRUE,BinEksp[[#This Row],[Kompleksitet]],BinEksp[[#This Row],[Læringsrate]],IF(BinEksp[[#This Row],[Augmentering]]="ja","aug",""))</f>
        <v>B4_0.0005_aug</v>
      </c>
      <c r="AL49" s="99" t="str">
        <f>_xlfn.TEXTJOIN("",TRUE,BinEksp[[#This Row],[Kompleksitet]],IF(BinEksp[[#This Row],[Augmentering]]="Ja","B","A"))</f>
        <v>B4B</v>
      </c>
    </row>
    <row r="50" spans="1:38" ht="45">
      <c r="A50" s="96">
        <v>11950505</v>
      </c>
      <c r="B50" s="97" t="s">
        <v>388</v>
      </c>
      <c r="C50" s="103" t="s">
        <v>389</v>
      </c>
      <c r="D50" s="96" t="s">
        <v>377</v>
      </c>
      <c r="E50" s="96" t="s">
        <v>383</v>
      </c>
      <c r="F50" s="96" t="s">
        <v>57</v>
      </c>
      <c r="G50" s="96">
        <v>5.0000000000000001E-4</v>
      </c>
      <c r="H50" s="96" t="s">
        <v>209</v>
      </c>
      <c r="I50" s="96">
        <v>8</v>
      </c>
      <c r="J50" s="96" t="s">
        <v>209</v>
      </c>
      <c r="K50" s="96" t="s">
        <v>149</v>
      </c>
      <c r="L50" s="102">
        <v>2.9409722222222223E-2</v>
      </c>
      <c r="M50" s="96">
        <v>50</v>
      </c>
      <c r="N50" s="96">
        <v>509</v>
      </c>
      <c r="O50" s="100">
        <v>0.85555559999999997</v>
      </c>
      <c r="P50" s="100">
        <v>0.77777779999999996</v>
      </c>
      <c r="Q50" s="100">
        <v>0.53764185785673002</v>
      </c>
      <c r="R50" s="100">
        <v>0.81818181818181801</v>
      </c>
      <c r="S50" s="100">
        <v>0.71428571428571397</v>
      </c>
      <c r="T50" s="100">
        <v>0.97746765999999996</v>
      </c>
      <c r="U50" s="100">
        <v>0.9375</v>
      </c>
      <c r="V50" s="100">
        <v>0.870542009576877</v>
      </c>
      <c r="W50" s="100">
        <v>0.94736842105263097</v>
      </c>
      <c r="X50" s="100">
        <v>0.92307692307692302</v>
      </c>
      <c r="Y50" s="98">
        <f>_xlfn.XLOOKUP(BinEksp[[#This Row],[Dataset (.h5)]],Datasett[Datasett (.h5)],Datasett[total]," ")</f>
        <v>144</v>
      </c>
      <c r="Z50" s="99">
        <f>IFERROR(_xlfn.XLOOKUP(BinEksp[[#This Row],[Dataset (.h5)]],Datasett[Datasett (.h5)],Datasett[Normale]," ")/BinEksp[[#This Row],[Number of samples]]," ")</f>
        <v>0.40972222222222221</v>
      </c>
      <c r="AA50" s="99">
        <f>IFERROR(_xlfn.XLOOKUP(BinEksp[[#This Row],[Dataset (.h5)]],Datasett[Datasett (.h5)],Datasett[1 artrose/sklerose]," ")/BinEksp[[#This Row],[Number of samples]]," ")</f>
        <v>0.27777777777777779</v>
      </c>
      <c r="AB50" s="99">
        <f>IFERROR(_xlfn.XLOOKUP(BinEksp[[#This Row],[Dataset (.h5)]],Datasett[Datasett (.h5)],Datasett[2 artrose]," ")/BinEksp[[#This Row],[Number of samples]]," ")</f>
        <v>5.5555555555555552E-2</v>
      </c>
      <c r="AC50" s="99">
        <f>IFERROR(_xlfn.XLOOKUP(BinEksp[[#This Row],[Dataset (.h5)]],Datasett[Datasett (.h5)],Datasett[2 MCD]," ")/BinEksp[[#This Row],[Number of samples]]," ")</f>
        <v>0.1875</v>
      </c>
      <c r="AD50" s="99">
        <f>IFERROR(_xlfn.XLOOKUP(BinEksp[[#This Row],[Dataset (.h5)]],Datasett[Datasett (.h5)],Datasett[3 artrose]," ")/BinEksp[[#This Row],[Number of samples]]," ")</f>
        <v>6.9444444444444441E-3</v>
      </c>
      <c r="AE50" s="99">
        <f>IFERROR(_xlfn.XLOOKUP(BinEksp[[#This Row],[Dataset (.h5)]],Datasett[Datasett (.h5)],Datasett[3 MCD]," ")/BinEksp[[#This Row],[Number of samples]]," ")</f>
        <v>6.25E-2</v>
      </c>
      <c r="AF50" s="99">
        <f>IFERROR(_xlfn.XLOOKUP(BinEksp[[#This Row],[Dataset (.h5)]],Datasett[Datasett (.h5)],Datasett[3 OCD]," ")/BinEksp[[#This Row],[Number of samples]]," ")</f>
        <v>0</v>
      </c>
      <c r="AG50" s="99">
        <f>IFERROR(_xlfn.XLOOKUP(BinEksp[[#This Row],[Dataset (.h5)]],Datasett[Datasett (.h5)],Datasett[3 UAP]," ")/BinEksp[[#This Row],[Number of samples]]," ")</f>
        <v>0</v>
      </c>
      <c r="AH50" s="101">
        <f>SUM(BinEksp[[#This Row],[1 artrose/ sklerose]:[3 UAP]])</f>
        <v>0.59027777777777779</v>
      </c>
      <c r="AI50" s="115" t="str">
        <f>_xlfn.TEXTJOIN("_",TRUE,BinEksp[[#This Row],[Kompleksitet]],BinEksp[[#This Row],[Læringsrate]],IF(BinEksp[[#This Row],[Augmentering]]="ja","aug",""),IF(BinEksp[[#This Row],[Validering]]="ja","flip",""))</f>
        <v>B4_0.0005_aug_flip</v>
      </c>
      <c r="AJ50" s="99" t="s">
        <v>376</v>
      </c>
      <c r="AK50" s="99" t="str">
        <f>_xlfn.TEXTJOIN("_",TRUE,BinEksp[[#This Row],[Kompleksitet]],BinEksp[[#This Row],[Læringsrate]],IF(BinEksp[[#This Row],[Augmentering]]="ja","aug",""))</f>
        <v>B4_0.0005_aug</v>
      </c>
      <c r="AL50" s="99" t="str">
        <f>_xlfn.TEXTJOIN("",TRUE,BinEksp[[#This Row],[Kompleksitet]],IF(BinEksp[[#This Row],[Augmentering]]="Ja","B","A"))</f>
        <v>B4B</v>
      </c>
    </row>
    <row r="51" spans="1:38" ht="60">
      <c r="A51" s="96">
        <v>11950613</v>
      </c>
      <c r="B51" s="97" t="s">
        <v>379</v>
      </c>
      <c r="C51" s="103" t="s">
        <v>380</v>
      </c>
      <c r="D51" s="96" t="s">
        <v>370</v>
      </c>
      <c r="E51" s="103" t="s">
        <v>382</v>
      </c>
      <c r="F51" s="96" t="s">
        <v>57</v>
      </c>
      <c r="G51" s="96">
        <v>5.0000000000000001E-4</v>
      </c>
      <c r="H51" s="96" t="s">
        <v>209</v>
      </c>
      <c r="I51" s="96">
        <v>8</v>
      </c>
      <c r="J51" s="96" t="s">
        <v>209</v>
      </c>
      <c r="K51" s="96" t="s">
        <v>149</v>
      </c>
      <c r="L51" s="102">
        <v>0.37410879629629629</v>
      </c>
      <c r="M51" s="96">
        <v>30</v>
      </c>
      <c r="N51" s="96">
        <v>108</v>
      </c>
      <c r="O51" s="100">
        <v>1</v>
      </c>
      <c r="P51" s="100">
        <v>1</v>
      </c>
      <c r="Q51" s="100">
        <v>1</v>
      </c>
      <c r="R51" s="100">
        <v>1</v>
      </c>
      <c r="S51" s="100">
        <v>1</v>
      </c>
      <c r="T51" s="100">
        <v>0.98617666999999998</v>
      </c>
      <c r="U51" s="100">
        <v>0.95575726000000005</v>
      </c>
      <c r="V51" s="100">
        <v>0.91173667282764204</v>
      </c>
      <c r="W51" s="100">
        <v>0.95501730103806204</v>
      </c>
      <c r="X51" s="100">
        <v>0.95647321428571397</v>
      </c>
      <c r="Y51" s="98">
        <f>_xlfn.XLOOKUP(BinEksp[[#This Row],[Dataset (.h5)]],Datasett[Datasett (.h5)],Datasett[total]," ")</f>
        <v>3527</v>
      </c>
      <c r="Z51" s="99">
        <f>IFERROR(_xlfn.XLOOKUP(BinEksp[[#This Row],[Dataset (.h5)]],Datasett[Datasett (.h5)],Datasett[Normale]," ")/BinEksp[[#This Row],[Number of samples]]," ")</f>
        <v>0.50269350722994044</v>
      </c>
      <c r="AA51" s="99">
        <f>IFERROR(_xlfn.XLOOKUP(BinEksp[[#This Row],[Dataset (.h5)]],Datasett[Datasett (.h5)],Datasett[1 artrose/sklerose]," ")/BinEksp[[#This Row],[Number of samples]]," ")</f>
        <v>0.21831584916359512</v>
      </c>
      <c r="AB51" s="99">
        <f>IFERROR(_xlfn.XLOOKUP(BinEksp[[#This Row],[Dataset (.h5)]],Datasett[Datasett (.h5)],Datasett[2 artrose]," ")/BinEksp[[#This Row],[Number of samples]]," ")</f>
        <v>0.10518854550609583</v>
      </c>
      <c r="AC51" s="99">
        <f>IFERROR(_xlfn.XLOOKUP(BinEksp[[#This Row],[Dataset (.h5)]],Datasett[Datasett (.h5)],Datasett[2 MCD]," ")/BinEksp[[#This Row],[Number of samples]]," ")</f>
        <v>4.5080805216898216E-2</v>
      </c>
      <c r="AD51" s="99">
        <f>IFERROR(_xlfn.XLOOKUP(BinEksp[[#This Row],[Dataset (.h5)]],Datasett[Datasett (.h5)],Datasett[3 artrose]," ")/BinEksp[[#This Row],[Number of samples]]," ")</f>
        <v>4.5931386447405728E-2</v>
      </c>
      <c r="AE51" s="99">
        <f>IFERROR(_xlfn.XLOOKUP(BinEksp[[#This Row],[Dataset (.h5)]],Datasett[Datasett (.h5)],Datasett[3 MCD]," ")/BinEksp[[#This Row],[Number of samples]]," ")</f>
        <v>7.0314715055287774E-2</v>
      </c>
      <c r="AF51" s="99">
        <f>IFERROR(_xlfn.XLOOKUP(BinEksp[[#This Row],[Dataset (.h5)]],Datasett[Datasett (.h5)],Datasett[3 OCD]," ")/BinEksp[[#This Row],[Number of samples]]," ")</f>
        <v>2.2682166146867026E-3</v>
      </c>
      <c r="AG51" s="99">
        <f>IFERROR(_xlfn.XLOOKUP(BinEksp[[#This Row],[Dataset (.h5)]],Datasett[Datasett (.h5)],Datasett[3 UAP]," ")/BinEksp[[#This Row],[Number of samples]]," ")</f>
        <v>1.0206974766090162E-2</v>
      </c>
      <c r="AH51" s="101">
        <f>SUM(BinEksp[[#This Row],[1 artrose/ sklerose]:[3 UAP]])</f>
        <v>0.49730649277005951</v>
      </c>
      <c r="AI51" s="115" t="str">
        <f>_xlfn.TEXTJOIN("_",TRUE,BinEksp[[#This Row],[Kompleksitet]],BinEksp[[#This Row],[Læringsrate]],IF(BinEksp[[#This Row],[Augmentering]]="ja","aug",""),IF(BinEksp[[#This Row],[Validering]]="ja","flip",""))</f>
        <v>B4_0.0005_aug_flip</v>
      </c>
      <c r="AJ51" s="99" t="s">
        <v>376</v>
      </c>
      <c r="AK51" s="99" t="str">
        <f>_xlfn.TEXTJOIN("_",TRUE,BinEksp[[#This Row],[Kompleksitet]],BinEksp[[#This Row],[Læringsrate]],IF(BinEksp[[#This Row],[Augmentering]]="ja","aug",""))</f>
        <v>B4_0.0005_aug</v>
      </c>
      <c r="AL51" s="99" t="str">
        <f>_xlfn.TEXTJOIN("",TRUE,BinEksp[[#This Row],[Kompleksitet]],IF(BinEksp[[#This Row],[Augmentering]]="Ja","B","A"))</f>
        <v>B4B</v>
      </c>
    </row>
    <row r="52" spans="1:38" ht="45">
      <c r="A52" s="96">
        <v>11957162</v>
      </c>
      <c r="B52" s="97" t="s">
        <v>390</v>
      </c>
      <c r="C52" s="103" t="s">
        <v>396</v>
      </c>
      <c r="D52" s="96" t="s">
        <v>375</v>
      </c>
      <c r="E52" s="103" t="s">
        <v>384</v>
      </c>
      <c r="F52" s="96" t="s">
        <v>57</v>
      </c>
      <c r="G52" s="96">
        <v>5.0000000000000001E-4</v>
      </c>
      <c r="H52" s="96" t="s">
        <v>209</v>
      </c>
      <c r="I52" s="96">
        <v>8</v>
      </c>
      <c r="J52" s="96" t="s">
        <v>209</v>
      </c>
      <c r="K52" s="96" t="s">
        <v>149</v>
      </c>
      <c r="L52" s="102">
        <v>3.6909722222222226E-2</v>
      </c>
      <c r="M52" s="96"/>
      <c r="N52" s="96">
        <v>509</v>
      </c>
      <c r="O52" s="100"/>
      <c r="P52" s="100"/>
      <c r="Q52" s="100"/>
      <c r="R52" s="100"/>
      <c r="S52" s="100"/>
      <c r="T52" s="100">
        <v>0.5360549</v>
      </c>
      <c r="U52" s="100">
        <v>0.5202483</v>
      </c>
      <c r="V52" s="100">
        <v>4.6016471849249299E-2</v>
      </c>
      <c r="W52" s="100">
        <v>0.57635082223962397</v>
      </c>
      <c r="X52" s="100">
        <v>0.44701873935264003</v>
      </c>
      <c r="Y52" s="98">
        <f>_xlfn.XLOOKUP(BinEksp[[#This Row],[Dataset (.h5)]],Datasett[Datasett (.h5)],Datasett[total]," ")</f>
        <v>3383</v>
      </c>
      <c r="Z52" s="99">
        <f>IFERROR(_xlfn.XLOOKUP(BinEksp[[#This Row],[Dataset (.h5)]],Datasett[Datasett (.h5)],Datasett[Normale]," ")/BinEksp[[#This Row],[Number of samples]]," ")</f>
        <v>0.50665090156665682</v>
      </c>
      <c r="AA52" s="99">
        <f>IFERROR(_xlfn.XLOOKUP(BinEksp[[#This Row],[Dataset (.h5)]],Datasett[Datasett (.h5)],Datasett[1 artrose/sklerose]," ")/BinEksp[[#This Row],[Number of samples]]," ")</f>
        <v>0.2157848063848655</v>
      </c>
      <c r="AB52" s="99">
        <f>IFERROR(_xlfn.XLOOKUP(BinEksp[[#This Row],[Dataset (.h5)]],Datasett[Datasett (.h5)],Datasett[2 artrose]," ")/BinEksp[[#This Row],[Number of samples]]," ")</f>
        <v>0.10730121194206325</v>
      </c>
      <c r="AC52" s="99">
        <f>IFERROR(_xlfn.XLOOKUP(BinEksp[[#This Row],[Dataset (.h5)]],Datasett[Datasett (.h5)],Datasett[2 MCD]," ")/BinEksp[[#This Row],[Number of samples]]," ")</f>
        <v>3.9018622524386641E-2</v>
      </c>
      <c r="AD52" s="99">
        <f>IFERROR(_xlfn.XLOOKUP(BinEksp[[#This Row],[Dataset (.h5)]],Datasett[Datasett (.h5)],Datasett[3 artrose]," ")/BinEksp[[#This Row],[Number of samples]]," ")</f>
        <v>4.7590895654744308E-2</v>
      </c>
      <c r="AE52" s="99">
        <f>IFERROR(_xlfn.XLOOKUP(BinEksp[[#This Row],[Dataset (.h5)]],Datasett[Datasett (.h5)],Datasett[3 MCD]," ")/BinEksp[[#This Row],[Number of samples]]," ")</f>
        <v>7.0647354419154595E-2</v>
      </c>
      <c r="AF52" s="99">
        <f>IFERROR(_xlfn.XLOOKUP(BinEksp[[#This Row],[Dataset (.h5)]],Datasett[Datasett (.h5)],Datasett[3 OCD]," ")/BinEksp[[#This Row],[Number of samples]]," ")</f>
        <v>2.3647650014779783E-3</v>
      </c>
      <c r="AG52" s="99">
        <f>IFERROR(_xlfn.XLOOKUP(BinEksp[[#This Row],[Dataset (.h5)]],Datasett[Datasett (.h5)],Datasett[3 UAP]," ")/BinEksp[[#This Row],[Number of samples]]," ")</f>
        <v>1.0641442506650901E-2</v>
      </c>
      <c r="AH52" s="101">
        <f>SUM(BinEksp[[#This Row],[1 artrose/ sklerose]:[3 UAP]])</f>
        <v>0.49334909843334318</v>
      </c>
      <c r="AI52" s="115" t="str">
        <f>_xlfn.TEXTJOIN("_",TRUE,BinEksp[[#This Row],[Kompleksitet]],BinEksp[[#This Row],[Læringsrate]],IF(BinEksp[[#This Row],[Augmentering]]="ja","aug",""),IF(BinEksp[[#This Row],[Validering]]="ja","flip",""))</f>
        <v>B4_0.0005_aug_flip</v>
      </c>
      <c r="AJ52" s="99" t="s">
        <v>371</v>
      </c>
      <c r="AK52" s="99" t="str">
        <f>_xlfn.TEXTJOIN("_",TRUE,BinEksp[[#This Row],[Kompleksitet]],BinEksp[[#This Row],[Læringsrate]],IF(BinEksp[[#This Row],[Augmentering]]="ja","aug",""))</f>
        <v>B4_0.0005_aug</v>
      </c>
      <c r="AL52" s="99" t="str">
        <f>_xlfn.TEXTJOIN("",TRUE,BinEksp[[#This Row],[Kompleksitet]],IF(BinEksp[[#This Row],[Augmentering]]="Ja","B","A"))</f>
        <v>B4B</v>
      </c>
    </row>
    <row r="53" spans="1:38" ht="45">
      <c r="A53" s="96">
        <v>12363354</v>
      </c>
      <c r="B53" s="97" t="s">
        <v>403</v>
      </c>
      <c r="C53" s="103" t="s">
        <v>411</v>
      </c>
      <c r="D53" s="96" t="s">
        <v>220</v>
      </c>
      <c r="E53" s="96" t="str">
        <f>_xlfn.TEXTJOIN("_",TRUE,BinEksp[[#This Row],[Kompleksitet]],BinEksp[[#This Row],[Dataset (.h5)]],_xlfn.TEXTJOIN("",TRUE,"bs",BinEksp[[#This Row],[Partistørrelse]]),BinEksp[[#This Row],[Læringsrate]],IF(BinEksp[[#This Row],[Augmentering]]="ja","aug",""),IF(BinEksp[[#This Row],[Validering]]="ja","flip",""))</f>
        <v>B0_800_normal_abnormal_2_bs25_0.0005</v>
      </c>
      <c r="F53" s="96" t="s">
        <v>34</v>
      </c>
      <c r="G53" s="96">
        <v>5.0000000000000001E-4</v>
      </c>
      <c r="H53" s="96" t="s">
        <v>208</v>
      </c>
      <c r="I53" s="96">
        <v>25</v>
      </c>
      <c r="J53" s="96" t="s">
        <v>208</v>
      </c>
      <c r="K53" s="96" t="s">
        <v>149</v>
      </c>
      <c r="L53" s="102"/>
      <c r="M53" s="96">
        <v>50</v>
      </c>
      <c r="N53" s="96"/>
      <c r="O53" s="100">
        <v>0.83085715999999998</v>
      </c>
      <c r="P53" s="100">
        <v>0.65808820000000001</v>
      </c>
      <c r="Q53" s="100">
        <v>0.45894957522655599</v>
      </c>
      <c r="R53" s="100">
        <v>0.53731343283582</v>
      </c>
      <c r="S53" s="100">
        <v>0.72886297376093201</v>
      </c>
      <c r="T53" s="100">
        <v>0.78277545999999998</v>
      </c>
      <c r="U53" s="100">
        <v>0.65808820000000001</v>
      </c>
      <c r="V53" s="100">
        <v>0.44404705261864502</v>
      </c>
      <c r="W53" s="100">
        <v>0.54634146341463397</v>
      </c>
      <c r="X53" s="100">
        <v>0.72566371681415898</v>
      </c>
      <c r="Y53" s="98">
        <f>_xlfn.XLOOKUP(BinEksp[[#This Row],[Dataset (.h5)]],Datasett[Datasett (.h5)],Datasett[total]," ")</f>
        <v>1090</v>
      </c>
      <c r="Z53" s="99">
        <f>IFERROR(_xlfn.XLOOKUP(BinEksp[[#This Row],[Dataset (.h5)]],Datasett[Datasett (.h5)],Datasett[Normale]," ")/BinEksp[[#This Row],[Number of samples]]," ")</f>
        <v>0.45871559633027525</v>
      </c>
      <c r="AA53" s="99">
        <f>IFERROR(_xlfn.XLOOKUP(BinEksp[[#This Row],[Dataset (.h5)]],Datasett[Datasett (.h5)],Datasett[1 artrose/sklerose]," ")/BinEksp[[#This Row],[Number of samples]]," ")</f>
        <v>0.23577981651376148</v>
      </c>
      <c r="AB53" s="99">
        <f>IFERROR(_xlfn.XLOOKUP(BinEksp[[#This Row],[Dataset (.h5)]],Datasett[Datasett (.h5)],Datasett[2 artrose]," ")/BinEksp[[#This Row],[Number of samples]]," ")</f>
        <v>0.11376146788990826</v>
      </c>
      <c r="AC53" s="99">
        <f>IFERROR(_xlfn.XLOOKUP(BinEksp[[#This Row],[Dataset (.h5)]],Datasett[Datasett (.h5)],Datasett[2 MCD]," ")/BinEksp[[#This Row],[Number of samples]]," ")</f>
        <v>4.8623853211009177E-2</v>
      </c>
      <c r="AD53" s="99">
        <f>IFERROR(_xlfn.XLOOKUP(BinEksp[[#This Row],[Dataset (.h5)]],Datasett[Datasett (.h5)],Datasett[3 artrose]," ")/BinEksp[[#This Row],[Number of samples]]," ")</f>
        <v>4.9541284403669728E-2</v>
      </c>
      <c r="AE53" s="99">
        <f>IFERROR(_xlfn.XLOOKUP(BinEksp[[#This Row],[Dataset (.h5)]],Datasett[Datasett (.h5)],Datasett[3 MCD]," ")/BinEksp[[#This Row],[Number of samples]]," ")</f>
        <v>7.5229357798165142E-2</v>
      </c>
      <c r="AF53" s="99">
        <f>IFERROR(_xlfn.XLOOKUP(BinEksp[[#This Row],[Dataset (.h5)]],Datasett[Datasett (.h5)],Datasett[3 OCD]," ")/BinEksp[[#This Row],[Number of samples]]," ")</f>
        <v>7.3394495412844041E-3</v>
      </c>
      <c r="AG53" s="99">
        <f>IFERROR(_xlfn.XLOOKUP(BinEksp[[#This Row],[Dataset (.h5)]],Datasett[Datasett (.h5)],Datasett[3 UAP]," ")/BinEksp[[#This Row],[Number of samples]]," ")</f>
        <v>1.1009174311926606E-2</v>
      </c>
      <c r="AH53" s="101">
        <f>SUM(BinEksp[[#This Row],[1 artrose/ sklerose]:[3 UAP]])</f>
        <v>0.54128440366972475</v>
      </c>
      <c r="AI53" s="115" t="str">
        <f>_xlfn.TEXTJOIN("_",TRUE,BinEksp[[#This Row],[Kompleksitet]],BinEksp[[#This Row],[Læringsrate]],IF(BinEksp[[#This Row],[Augmentering]]="ja","aug",""),IF(BinEksp[[#This Row],[Validering]]="ja","flip",""))</f>
        <v>B0_0.0005</v>
      </c>
      <c r="AJ53" s="99" t="s">
        <v>405</v>
      </c>
      <c r="AK53" s="99" t="str">
        <f>_xlfn.TEXTJOIN("_",TRUE,BinEksp[[#This Row],[Kompleksitet]],BinEksp[[#This Row],[Læringsrate]],IF(BinEksp[[#This Row],[Augmentering]]="ja","aug",""))</f>
        <v>B0_0.0005</v>
      </c>
      <c r="AL53" s="99" t="str">
        <f>_xlfn.TEXTJOIN("",TRUE,BinEksp[[#This Row],[Kompleksitet]],IF(BinEksp[[#This Row],[Augmentering]]="Ja","B","A"))</f>
        <v>B0A</v>
      </c>
    </row>
  </sheetData>
  <phoneticPr fontId="2" type="noConversion"/>
  <conditionalFormatting sqref="B2:B43">
    <cfRule type="duplicateValues" dxfId="10" priority="287"/>
  </conditionalFormatting>
  <conditionalFormatting sqref="B44">
    <cfRule type="duplicateValues" dxfId="9" priority="20"/>
  </conditionalFormatting>
  <conditionalFormatting sqref="B45">
    <cfRule type="duplicateValues" dxfId="8" priority="22"/>
  </conditionalFormatting>
  <conditionalFormatting sqref="B46">
    <cfRule type="duplicateValues" dxfId="7" priority="23"/>
  </conditionalFormatting>
  <conditionalFormatting sqref="B47">
    <cfRule type="duplicateValues" dxfId="6" priority="21"/>
  </conditionalFormatting>
  <conditionalFormatting sqref="B48">
    <cfRule type="duplicateValues" dxfId="5" priority="3"/>
  </conditionalFormatting>
  <conditionalFormatting sqref="B49">
    <cfRule type="duplicateValues" dxfId="4" priority="2"/>
  </conditionalFormatting>
  <conditionalFormatting sqref="B50:B53">
    <cfRule type="duplicateValues" dxfId="3" priority="1"/>
  </conditionalFormatting>
  <conditionalFormatting sqref="E2:E53">
    <cfRule type="duplicateValues" dxfId="2" priority="24"/>
  </conditionalFormatting>
  <conditionalFormatting sqref="O2:O43">
    <cfRule type="colorScale" priority="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:O53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44:O53">
    <cfRule type="colorScale" priority="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:P43">
    <cfRule type="colorScale" priority="2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:P53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4:P53">
    <cfRule type="colorScale" priority="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:R43">
    <cfRule type="colorScale" priority="2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4:R53">
    <cfRule type="colorScale" priority="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:Q43">
    <cfRule type="colorScale" priority="2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:Q53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44:Q53">
    <cfRule type="colorScale" priority="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2:R43">
    <cfRule type="colorScale" priority="2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2:R53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44:R53">
    <cfRule type="colorScale" priority="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:S43">
    <cfRule type="colorScale" priority="2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:S53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44:S53">
    <cfRule type="colorScale" priority="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:T41 T43">
    <cfRule type="colorScale" priority="2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:T43">
    <cfRule type="colorScale" priority="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:T53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44:T45">
    <cfRule type="colorScale" priority="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44:T53">
    <cfRule type="colorScale" priority="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2:U43">
    <cfRule type="colorScale" priority="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2:U53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44:U53">
    <cfRule type="colorScale" priority="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2:V43">
    <cfRule type="colorScale" priority="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2:V53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44:V53">
    <cfRule type="colorScale" priority="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2:W43">
    <cfRule type="colorScale" priority="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2:W53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44:W53">
    <cfRule type="colorScale" priority="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2:X43">
    <cfRule type="colorScale" priority="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2:X53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44:X53">
    <cfRule type="colorScale" priority="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2:W43">
    <cfRule type="colorScale" priority="2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44:W53">
    <cfRule type="colorScale" priority="2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dataValidations count="6">
    <dataValidation type="list" allowBlank="1" showInputMessage="1" showErrorMessage="1" sqref="F2:F53" xr:uid="{2A90B805-658F-4294-B954-EA0DFB660B39}">
      <formula1>"B0,B1,B2,B3,B4"</formula1>
    </dataValidation>
    <dataValidation type="list" allowBlank="1" showInputMessage="1" showErrorMessage="1" sqref="G2:G53" xr:uid="{D2128194-1A8D-4926-A6B6-51810B2F0BCA}">
      <formula1>"0.00005,0.0001,0.0005,0.001,0.005"</formula1>
    </dataValidation>
    <dataValidation type="list" allowBlank="1" showInputMessage="1" showErrorMessage="1" sqref="J2:J53 H2:H53" xr:uid="{193E640E-023D-4A93-9D3F-CA4B5BBEAD5E}">
      <formula1>"Ja,Nei"</formula1>
    </dataValidation>
    <dataValidation type="list" allowBlank="1" showInputMessage="1" showErrorMessage="1" sqref="K2:K53" xr:uid="{D724D83B-2D88-4097-9380-17679DEB3D40}">
      <formula1>"pretrain,scratch"</formula1>
    </dataValidation>
    <dataValidation type="list" allowBlank="1" showInputMessage="1" showErrorMessage="1" sqref="AM54:AM1048576 AJ1" xr:uid="{127A4EF3-5D90-1246-975E-3947EEAAA39E}">
      <formula1>"normal/abnormal,artrose/rest,lvl1/rest,external,feedback"</formula1>
    </dataValidation>
    <dataValidation type="list" allowBlank="1" showInputMessage="1" showErrorMessage="1" sqref="AJ2:AJ53" xr:uid="{18E69B1A-C8C3-CA43-B351-25382415E124}">
      <formula1>"normal/abnormal,artrose/rest,lvl1/rest,external,feedback,baseline,klassifiserbar"</formula1>
    </dataValidation>
  </dataValidations>
  <pageMargins left="0.7" right="0.7" top="0.75" bottom="0.75" header="0.3" footer="0.3"/>
  <pageSetup paperSize="9" orientation="portrait" r:id="rId1"/>
  <drawing r:id="rId2"/>
  <legacyDrawing r:id="rId3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DBE1B77-DFD6-4F46-905A-6CC414AF6FD7}">
          <x14:formula1>
            <xm:f>Datasets!$A$2:$A$14</xm:f>
          </x14:formula1>
          <xm:sqref>D2:D53</xm:sqref>
        </x14:dataValidation>
      </x14:dataValidations>
    </ext>
    <ext xmlns:x15="http://schemas.microsoft.com/office/spreadsheetml/2010/11/main" uri="{3A4CF648-6AED-40f4-86FF-DC5316D8AED3}">
      <x14:slicerList xmlns:x14="http://schemas.microsoft.com/office/spreadsheetml/2009/9/main">
        <x14:slicer r:id="rId5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35D8AA-8EAC-A449-A15B-147215ED315D}">
  <dimension ref="A1:AE20"/>
  <sheetViews>
    <sheetView topLeftCell="A2" zoomScale="160" zoomScaleNormal="173" workbookViewId="0">
      <selection activeCell="I19" sqref="I19"/>
    </sheetView>
  </sheetViews>
  <sheetFormatPr baseColWidth="10" defaultColWidth="11.5" defaultRowHeight="15"/>
  <cols>
    <col min="1" max="1" width="10.5" bestFit="1" customWidth="1"/>
    <col min="2" max="2" width="47.1640625" customWidth="1"/>
    <col min="3" max="3" width="13.33203125" bestFit="1" customWidth="1"/>
    <col min="4" max="4" width="22" bestFit="1" customWidth="1"/>
    <col min="5" max="5" width="22" customWidth="1"/>
    <col min="6" max="6" width="38.6640625" bestFit="1" customWidth="1"/>
    <col min="7" max="7" width="13.6640625" customWidth="1"/>
    <col min="8" max="8" width="12.6640625" customWidth="1"/>
    <col min="9" max="9" width="14" customWidth="1"/>
    <col min="10" max="10" width="13.6640625" customWidth="1"/>
    <col min="11" max="11" width="11.33203125" customWidth="1"/>
    <col min="12" max="12" width="13.6640625" customWidth="1"/>
    <col min="13" max="13" width="12.1640625" bestFit="1" customWidth="1"/>
    <col min="14" max="14" width="18" customWidth="1"/>
    <col min="15" max="15" width="9.5" bestFit="1" customWidth="1"/>
    <col min="16" max="16" width="15.5" bestFit="1" customWidth="1"/>
    <col min="17" max="17" width="15.83203125" bestFit="1" customWidth="1"/>
    <col min="18" max="18" width="25.33203125" bestFit="1" customWidth="1"/>
    <col min="19" max="19" width="18" bestFit="1" customWidth="1"/>
    <col min="20" max="20" width="26.1640625" bestFit="1" customWidth="1"/>
    <col min="21" max="21" width="10.33203125" bestFit="1" customWidth="1"/>
    <col min="22" max="22" width="16.33203125" bestFit="1" customWidth="1"/>
    <col min="23" max="23" width="16.6640625" bestFit="1" customWidth="1"/>
    <col min="24" max="24" width="26.1640625" bestFit="1" customWidth="1"/>
    <col min="25" max="25" width="19" bestFit="1" customWidth="1"/>
    <col min="26" max="27" width="13.6640625" bestFit="1" customWidth="1"/>
    <col min="28" max="28" width="10.1640625" customWidth="1"/>
    <col min="29" max="29" width="14" customWidth="1"/>
    <col min="30" max="30" width="18" customWidth="1"/>
    <col min="31" max="31" width="10.1640625" customWidth="1"/>
    <col min="32" max="32" width="17.1640625" customWidth="1"/>
    <col min="33" max="33" width="10.1640625" customWidth="1"/>
    <col min="34" max="34" width="9.1640625" customWidth="1"/>
    <col min="35" max="35" width="10.1640625" customWidth="1"/>
    <col min="36" max="36" width="18" bestFit="1" customWidth="1"/>
    <col min="37" max="38" width="9.1640625" customWidth="1"/>
    <col min="39" max="39" width="14" customWidth="1"/>
  </cols>
  <sheetData>
    <row r="1" spans="1:31" ht="16" thickBot="1">
      <c r="A1" t="s">
        <v>95</v>
      </c>
      <c r="B1" t="s">
        <v>85</v>
      </c>
      <c r="C1" t="s">
        <v>86</v>
      </c>
      <c r="D1" t="s">
        <v>4</v>
      </c>
      <c r="E1" t="s">
        <v>67</v>
      </c>
      <c r="F1" t="s">
        <v>66</v>
      </c>
      <c r="G1" t="s">
        <v>205</v>
      </c>
      <c r="H1" t="s">
        <v>211</v>
      </c>
      <c r="I1" t="s">
        <v>206</v>
      </c>
      <c r="J1" t="s">
        <v>210</v>
      </c>
      <c r="K1" t="s">
        <v>207</v>
      </c>
      <c r="L1" t="s">
        <v>212</v>
      </c>
      <c r="M1" s="107" t="s">
        <v>227</v>
      </c>
      <c r="N1" t="s">
        <v>10</v>
      </c>
      <c r="O1" t="s">
        <v>126</v>
      </c>
      <c r="P1" t="s">
        <v>213</v>
      </c>
      <c r="Q1" t="s">
        <v>117</v>
      </c>
      <c r="R1" t="s">
        <v>292</v>
      </c>
      <c r="S1" s="111" t="s">
        <v>124</v>
      </c>
      <c r="T1" s="111" t="s">
        <v>214</v>
      </c>
      <c r="U1" s="111" t="s">
        <v>11</v>
      </c>
      <c r="V1" s="111" t="s">
        <v>293</v>
      </c>
      <c r="W1" t="s">
        <v>12</v>
      </c>
      <c r="X1" t="s">
        <v>13</v>
      </c>
      <c r="Y1" t="s">
        <v>224</v>
      </c>
      <c r="Z1" t="s">
        <v>16</v>
      </c>
      <c r="AA1" t="s">
        <v>215</v>
      </c>
      <c r="AB1" t="s">
        <v>18</v>
      </c>
      <c r="AC1" t="s">
        <v>19</v>
      </c>
      <c r="AD1" t="s">
        <v>20</v>
      </c>
      <c r="AE1" t="s">
        <v>21</v>
      </c>
    </row>
    <row r="2" spans="1:31" ht="45">
      <c r="A2" s="105">
        <v>12055596</v>
      </c>
      <c r="B2" s="106" t="s">
        <v>400</v>
      </c>
      <c r="C2" s="105"/>
      <c r="D2" s="105" t="s">
        <v>402</v>
      </c>
      <c r="E2" s="105" t="s">
        <v>286</v>
      </c>
      <c r="F2" s="106" t="s">
        <v>399</v>
      </c>
      <c r="G2" s="105" t="s">
        <v>30</v>
      </c>
      <c r="H2" s="105">
        <v>5.0000000000000001E-4</v>
      </c>
      <c r="I2" s="105" t="s">
        <v>209</v>
      </c>
      <c r="J2" s="105">
        <v>16</v>
      </c>
      <c r="K2" s="105" t="s">
        <v>209</v>
      </c>
      <c r="L2" s="105" t="s">
        <v>149</v>
      </c>
      <c r="M2" s="108"/>
      <c r="N2" s="105" t="s">
        <v>401</v>
      </c>
      <c r="O2" s="113">
        <v>0.99994563999999997</v>
      </c>
      <c r="P2" s="113">
        <v>0.99580709999999995</v>
      </c>
      <c r="Q2" s="113">
        <v>0.99058605933139499</v>
      </c>
      <c r="R2" s="113">
        <v>0.99371069182389904</v>
      </c>
      <c r="S2" s="113">
        <v>0.84526539999999994</v>
      </c>
      <c r="T2" s="113">
        <v>0.77987419999999996</v>
      </c>
      <c r="U2" s="113">
        <v>0.50188759417027196</v>
      </c>
      <c r="V2" s="113">
        <v>0.66823899371069095</v>
      </c>
      <c r="W2" s="105">
        <f>_xlfn.XLOOKUP(Tabell7[[#This Row],[Dataset (.h5)]],Datasett[Datasett (.h5)],Datasett[total]," ")</f>
        <v>1272</v>
      </c>
      <c r="X2" s="110">
        <f>IFERROR(_xlfn.XLOOKUP(Tabell7[[#This Row],[Dataset (.h5)]],Datasett[Datasett (.h5)],Datasett[Normale]," ")/Tabell7[[#This Row],[Number of samples]]," ")</f>
        <v>0</v>
      </c>
      <c r="Y2" s="110">
        <f>IFERROR(_xlfn.XLOOKUP(Tabell7[[#This Row],[Dataset (.h5)]],Datasett[Datasett (.h5)],Datasett[1 artrose/sklerose]," ")/Tabell7[[#This Row],[Number of samples]]," ")</f>
        <v>0.32861635220125784</v>
      </c>
      <c r="Z2" s="110">
        <f>IFERROR(_xlfn.XLOOKUP(Tabell7[[#This Row],[Dataset (.h5)]],Datasett[Datasett (.h5)],Datasett[2 artrose]," ")/Tabell7[[#This Row],[Number of samples]]," ")</f>
        <v>0.25314465408805031</v>
      </c>
      <c r="AA2" s="110">
        <f>IFERROR(_xlfn.XLOOKUP(Tabell7[[#This Row],[Dataset (.h5)]],Datasett[Datasett (.h5)],Datasett[2 MCD]," ")/Tabell7[[#This Row],[Number of samples]]," ")</f>
        <v>0.10849056603773585</v>
      </c>
      <c r="AB2" s="110">
        <f>IFERROR(_xlfn.XLOOKUP(Tabell7[[#This Row],[Dataset (.h5)]],Datasett[Datasett (.h5)],Datasett[3 artrose]," ")/Tabell7[[#This Row],[Number of samples]]," ")</f>
        <v>0.11006289308176101</v>
      </c>
      <c r="AC2" s="110">
        <f>IFERROR(_xlfn.XLOOKUP(Tabell7[[#This Row],[Dataset (.h5)]],Datasett[Datasett (.h5)],Datasett[3 MCD]," ")/Tabell7[[#This Row],[Number of samples]]," ")</f>
        <v>0.16902515723270439</v>
      </c>
      <c r="AD2" s="110">
        <f>IFERROR(_xlfn.XLOOKUP(Tabell7[[#This Row],[Dataset (.h5)]],Datasett[Datasett (.h5)],Datasett[3 OCD]," ")/Tabell7[[#This Row],[Number of samples]]," ")</f>
        <v>6.2893081761006293E-3</v>
      </c>
      <c r="AE2" s="110">
        <f>IFERROR(_xlfn.XLOOKUP(Tabell7[[#This Row],[Dataset (.h5)]],Datasett[Datasett (.h5)],Datasett[3 UAP]," ")/Tabell7[[#This Row],[Number of samples]]," ")</f>
        <v>2.4371069182389939E-2</v>
      </c>
    </row>
    <row r="3" spans="1:31" ht="45">
      <c r="A3" s="105">
        <v>11875566</v>
      </c>
      <c r="B3" s="106" t="s">
        <v>325</v>
      </c>
      <c r="C3" s="105"/>
      <c r="D3" s="105" t="s">
        <v>284</v>
      </c>
      <c r="E3" s="105" t="s">
        <v>286</v>
      </c>
      <c r="F3" s="105" t="str">
        <f>_xlfn.TEXTJOIN("_",TRUE,Tabell7[[#This Row],[Kompleksitet]],Tabell7[[#This Row],[Dataset (.h5)]],_xlfn.TEXTJOIN("",TRUE,"bs",Tabell7[[#This Row],[Partistørrelse]]),Tabell7[[#This Row],[Læringsrate]],IF(Tabell7[[#This Row],[Augmentering]]="ja","aug",""),IF(Tabell7[[#This Row],[Validering]]="ja","flip",""))</f>
        <v>B3_800_level_3_bs16_0.0005_aug_flip</v>
      </c>
      <c r="G3" s="105" t="s">
        <v>30</v>
      </c>
      <c r="H3" s="105">
        <v>5.0000000000000001E-4</v>
      </c>
      <c r="I3" s="105" t="s">
        <v>209</v>
      </c>
      <c r="J3" s="105">
        <v>16</v>
      </c>
      <c r="K3" s="105" t="s">
        <v>209</v>
      </c>
      <c r="L3" s="105" t="s">
        <v>149</v>
      </c>
      <c r="M3" s="108">
        <v>5.0219907407407414E-2</v>
      </c>
      <c r="N3" s="105" t="s">
        <v>192</v>
      </c>
      <c r="O3" s="113">
        <v>0.78835809999999995</v>
      </c>
      <c r="P3" s="113">
        <v>0.75447154000000005</v>
      </c>
      <c r="Q3" s="113">
        <v>0.42337902610775102</v>
      </c>
      <c r="R3" s="113">
        <v>0.62926829268292594</v>
      </c>
      <c r="S3" s="113">
        <v>0.77848410000000001</v>
      </c>
      <c r="T3" s="113">
        <v>0.75242715999999998</v>
      </c>
      <c r="U3" s="113">
        <v>0.42887124570433599</v>
      </c>
      <c r="V3" s="113">
        <v>0.63106796116504804</v>
      </c>
      <c r="W3" s="105">
        <f>_xlfn.XLOOKUP(Tabell7[[#This Row],[Dataset (.h5)]],Datasett[Datasett (.h5)],Datasett[total]," ")</f>
        <v>823</v>
      </c>
      <c r="X3" s="110">
        <f>IFERROR(_xlfn.XLOOKUP(Tabell7[[#This Row],[Dataset (.h5)]],Datasett[Datasett (.h5)],Datasett[Normale]," ")/Tabell7[[#This Row],[Number of samples]]," ")</f>
        <v>0</v>
      </c>
      <c r="Y3" s="110">
        <f>IFERROR(_xlfn.XLOOKUP(Tabell7[[#This Row],[Dataset (.h5)]],Datasett[Datasett (.h5)],Datasett[1 artrose/sklerose]," ")/Tabell7[[#This Row],[Number of samples]]," ")</f>
        <v>0.43620899149453218</v>
      </c>
      <c r="Z3" s="110">
        <f>IFERROR(_xlfn.XLOOKUP(Tabell7[[#This Row],[Dataset (.h5)]],Datasett[Datasett (.h5)],Datasett[2 artrose]," ")/Tabell7[[#This Row],[Number of samples]]," ")</f>
        <v>0.21142162818955043</v>
      </c>
      <c r="AA3" s="110">
        <f>IFERROR(_xlfn.XLOOKUP(Tabell7[[#This Row],[Dataset (.h5)]],Datasett[Datasett (.h5)],Datasett[2 MCD]," ")/Tabell7[[#This Row],[Number of samples]]," ")</f>
        <v>8.9914945321992706E-2</v>
      </c>
      <c r="AB3" s="110">
        <f>IFERROR(_xlfn.XLOOKUP(Tabell7[[#This Row],[Dataset (.h5)]],Datasett[Datasett (.h5)],Datasett[3 artrose]," ")/Tabell7[[#This Row],[Number of samples]]," ")</f>
        <v>9.2345078979343867E-2</v>
      </c>
      <c r="AC3" s="110">
        <f>IFERROR(_xlfn.XLOOKUP(Tabell7[[#This Row],[Dataset (.h5)]],Datasett[Datasett (.h5)],Datasett[3 MCD]," ")/Tabell7[[#This Row],[Number of samples]]," ")</f>
        <v>0.13973268529769137</v>
      </c>
      <c r="AD3" s="110">
        <f>IFERROR(_xlfn.XLOOKUP(Tabell7[[#This Row],[Dataset (.h5)]],Datasett[Datasett (.h5)],Datasett[3 OCD]," ")/Tabell7[[#This Row],[Number of samples]]," ")</f>
        <v>9.7205346294046164E-3</v>
      </c>
      <c r="AE3" s="110">
        <f>IFERROR(_xlfn.XLOOKUP(Tabell7[[#This Row],[Dataset (.h5)]],Datasett[Datasett (.h5)],Datasett[3 UAP]," ")/Tabell7[[#This Row],[Number of samples]]," ")</f>
        <v>2.0656136087484813E-2</v>
      </c>
    </row>
    <row r="4" spans="1:31" ht="45">
      <c r="A4" s="105">
        <v>11875666</v>
      </c>
      <c r="B4" s="106" t="s">
        <v>332</v>
      </c>
      <c r="C4" s="105"/>
      <c r="D4" s="105" t="s">
        <v>303</v>
      </c>
      <c r="E4" s="105" t="s">
        <v>304</v>
      </c>
      <c r="F4" s="105" t="str">
        <f>_xlfn.TEXTJOIN("_",TRUE,Tabell7[[#This Row],[Kompleksitet]],Tabell7[[#This Row],[Dataset (.h5)]],_xlfn.TEXTJOIN("",TRUE,"bs",Tabell7[[#This Row],[Partistørrelse]]),Tabell7[[#This Row],[Læringsrate]],IF(Tabell7[[#This Row],[Augmentering]]="ja","aug",""),IF(Tabell7[[#This Row],[Validering]]="ja","flip",""))</f>
        <v>B4_800_complete_3_bs8_0.0005_flip</v>
      </c>
      <c r="G4" s="105" t="s">
        <v>57</v>
      </c>
      <c r="H4" s="105">
        <v>5.0000000000000001E-4</v>
      </c>
      <c r="I4" s="105" t="s">
        <v>208</v>
      </c>
      <c r="J4" s="105">
        <v>8</v>
      </c>
      <c r="K4" s="105" t="s">
        <v>209</v>
      </c>
      <c r="L4" s="105" t="s">
        <v>149</v>
      </c>
      <c r="M4" s="108">
        <v>4.880787037037037E-2</v>
      </c>
      <c r="N4" s="105" t="s">
        <v>99</v>
      </c>
      <c r="O4" s="113">
        <v>0.83775929999999998</v>
      </c>
      <c r="P4" s="113">
        <v>0.88571429999999995</v>
      </c>
      <c r="Q4" s="113">
        <v>0.435525844901959</v>
      </c>
      <c r="R4" s="113">
        <v>0.60487804878048701</v>
      </c>
      <c r="S4" s="113">
        <v>0.86434279999999997</v>
      </c>
      <c r="T4" s="113">
        <v>0.88557560000000002</v>
      </c>
      <c r="U4" s="113">
        <v>0.42199530742535102</v>
      </c>
      <c r="V4" s="113">
        <v>0.59708737864077599</v>
      </c>
      <c r="W4" s="105">
        <f>_xlfn.XLOOKUP(Tabell7[[#This Row],[Dataset (.h5)]],Datasett[Datasett (.h5)],Datasett[total]," ")</f>
        <v>823</v>
      </c>
      <c r="X4" s="110">
        <f>IFERROR(_xlfn.XLOOKUP(Tabell7[[#This Row],[Dataset (.h5)]],Datasett[Datasett (.h5)],Datasett[Normale]," ")/Tabell7[[#This Row],[Number of samples]]," ")</f>
        <v>0</v>
      </c>
      <c r="Y4" s="110">
        <f>IFERROR(_xlfn.XLOOKUP(Tabell7[[#This Row],[Dataset (.h5)]],Datasett[Datasett (.h5)],Datasett[1 artrose/sklerose]," ")/Tabell7[[#This Row],[Number of samples]]," ")</f>
        <v>0.43620899149453218</v>
      </c>
      <c r="Z4" s="110">
        <f>IFERROR(_xlfn.XLOOKUP(Tabell7[[#This Row],[Dataset (.h5)]],Datasett[Datasett (.h5)],Datasett[2 artrose]," ")/Tabell7[[#This Row],[Number of samples]]," ")</f>
        <v>0.21142162818955043</v>
      </c>
      <c r="AA4" s="110">
        <f>IFERROR(_xlfn.XLOOKUP(Tabell7[[#This Row],[Dataset (.h5)]],Datasett[Datasett (.h5)],Datasett[2 MCD]," ")/Tabell7[[#This Row],[Number of samples]]," ")</f>
        <v>8.9914945321992706E-2</v>
      </c>
      <c r="AB4" s="110">
        <f>IFERROR(_xlfn.XLOOKUP(Tabell7[[#This Row],[Dataset (.h5)]],Datasett[Datasett (.h5)],Datasett[3 artrose]," ")/Tabell7[[#This Row],[Number of samples]]," ")</f>
        <v>9.2345078979343867E-2</v>
      </c>
      <c r="AC4" s="110">
        <f>IFERROR(_xlfn.XLOOKUP(Tabell7[[#This Row],[Dataset (.h5)]],Datasett[Datasett (.h5)],Datasett[3 MCD]," ")/Tabell7[[#This Row],[Number of samples]]," ")</f>
        <v>0.13973268529769137</v>
      </c>
      <c r="AD4" s="110">
        <f>IFERROR(_xlfn.XLOOKUP(Tabell7[[#This Row],[Dataset (.h5)]],Datasett[Datasett (.h5)],Datasett[3 OCD]," ")/Tabell7[[#This Row],[Number of samples]]," ")</f>
        <v>9.7205346294046164E-3</v>
      </c>
      <c r="AE4" s="110">
        <f>IFERROR(_xlfn.XLOOKUP(Tabell7[[#This Row],[Dataset (.h5)]],Datasett[Datasett (.h5)],Datasett[3 UAP]," ")/Tabell7[[#This Row],[Number of samples]]," ")</f>
        <v>2.0656136087484813E-2</v>
      </c>
    </row>
    <row r="5" spans="1:31" ht="45">
      <c r="A5" s="105">
        <v>11856581</v>
      </c>
      <c r="B5" s="106" t="s">
        <v>320</v>
      </c>
      <c r="C5" s="105"/>
      <c r="D5" s="105" t="s">
        <v>284</v>
      </c>
      <c r="E5" s="105" t="s">
        <v>286</v>
      </c>
      <c r="F5" s="105" t="str">
        <f>_xlfn.TEXTJOIN("_",TRUE,Tabell7[[#This Row],[Kompleksitet]],Tabell7[[#This Row],[Dataset (.h5)]],_xlfn.TEXTJOIN("",TRUE,"bs",Tabell7[[#This Row],[Partistørrelse]]),Tabell7[[#This Row],[Læringsrate]],IF(Tabell7[[#This Row],[Augmentering]]="ja","aug",""),IF(Tabell7[[#This Row],[Validering]]="ja","flip",""))</f>
        <v>B3_800_level_3_bs16_0.001_aug</v>
      </c>
      <c r="G5" s="105" t="s">
        <v>30</v>
      </c>
      <c r="H5" s="105">
        <v>1E-3</v>
      </c>
      <c r="I5" s="105" t="s">
        <v>209</v>
      </c>
      <c r="J5" s="105">
        <v>16</v>
      </c>
      <c r="K5" s="105" t="s">
        <v>208</v>
      </c>
      <c r="L5" s="105" t="s">
        <v>149</v>
      </c>
      <c r="M5" s="108">
        <v>5.4456018518518522E-2</v>
      </c>
      <c r="N5" s="105" t="s">
        <v>114</v>
      </c>
      <c r="O5" s="113">
        <v>0.79110897000000002</v>
      </c>
      <c r="P5" s="113">
        <v>0.76860845</v>
      </c>
      <c r="Q5" s="113">
        <v>0.46337277888267597</v>
      </c>
      <c r="R5" s="113">
        <v>0.65048543689320304</v>
      </c>
      <c r="S5" s="113">
        <v>0.74970245000000002</v>
      </c>
      <c r="T5" s="113">
        <v>0.74146339999999999</v>
      </c>
      <c r="U5" s="113">
        <v>0.41811858105188099</v>
      </c>
      <c r="V5" s="113">
        <v>0.61463414634146296</v>
      </c>
      <c r="W5" s="105">
        <f>_xlfn.XLOOKUP(Tabell7[[#This Row],[Dataset (.h5)]],Datasett[Datasett (.h5)],Datasett[total]," ")</f>
        <v>823</v>
      </c>
      <c r="X5" s="110">
        <f>IFERROR(_xlfn.XLOOKUP(Tabell7[[#This Row],[Dataset (.h5)]],Datasett[Datasett (.h5)],Datasett[Normale]," ")/Tabell7[[#This Row],[Number of samples]]," ")</f>
        <v>0</v>
      </c>
      <c r="Y5" s="110">
        <f>IFERROR(_xlfn.XLOOKUP(Tabell7[[#This Row],[Dataset (.h5)]],Datasett[Datasett (.h5)],Datasett[1 artrose/sklerose]," ")/Tabell7[[#This Row],[Number of samples]]," ")</f>
        <v>0.43620899149453218</v>
      </c>
      <c r="Z5" s="110">
        <f>IFERROR(_xlfn.XLOOKUP(Tabell7[[#This Row],[Dataset (.h5)]],Datasett[Datasett (.h5)],Datasett[2 artrose]," ")/Tabell7[[#This Row],[Number of samples]]," ")</f>
        <v>0.21142162818955043</v>
      </c>
      <c r="AA5" s="110">
        <f>IFERROR(_xlfn.XLOOKUP(Tabell7[[#This Row],[Dataset (.h5)]],Datasett[Datasett (.h5)],Datasett[2 MCD]," ")/Tabell7[[#This Row],[Number of samples]]," ")</f>
        <v>8.9914945321992706E-2</v>
      </c>
      <c r="AB5" s="110">
        <f>IFERROR(_xlfn.XLOOKUP(Tabell7[[#This Row],[Dataset (.h5)]],Datasett[Datasett (.h5)],Datasett[3 artrose]," ")/Tabell7[[#This Row],[Number of samples]]," ")</f>
        <v>9.2345078979343867E-2</v>
      </c>
      <c r="AC5" s="110">
        <f>IFERROR(_xlfn.XLOOKUP(Tabell7[[#This Row],[Dataset (.h5)]],Datasett[Datasett (.h5)],Datasett[3 MCD]," ")/Tabell7[[#This Row],[Number of samples]]," ")</f>
        <v>0.13973268529769137</v>
      </c>
      <c r="AD5" s="110">
        <f>IFERROR(_xlfn.XLOOKUP(Tabell7[[#This Row],[Dataset (.h5)]],Datasett[Datasett (.h5)],Datasett[3 OCD]," ")/Tabell7[[#This Row],[Number of samples]]," ")</f>
        <v>9.7205346294046164E-3</v>
      </c>
      <c r="AE5" s="110">
        <f>IFERROR(_xlfn.XLOOKUP(Tabell7[[#This Row],[Dataset (.h5)]],Datasett[Datasett (.h5)],Datasett[3 UAP]," ")/Tabell7[[#This Row],[Number of samples]]," ")</f>
        <v>2.0656136087484813E-2</v>
      </c>
    </row>
    <row r="6" spans="1:31" ht="45">
      <c r="A6" s="105">
        <v>11835987</v>
      </c>
      <c r="B6" s="106" t="s">
        <v>300</v>
      </c>
      <c r="C6" s="105"/>
      <c r="D6" s="105" t="s">
        <v>284</v>
      </c>
      <c r="E6" s="105" t="s">
        <v>286</v>
      </c>
      <c r="F6" s="105" t="str">
        <f>_xlfn.TEXTJOIN("_",TRUE,Tabell7[[#This Row],[Kompleksitet]],Tabell7[[#This Row],[Dataset (.h5)]],_xlfn.TEXTJOIN("",TRUE,"bs",Tabell7[[#This Row],[Partistørrelse]]),Tabell7[[#This Row],[Læringsrate]],IF(Tabell7[[#This Row],[Augmentering]]="ja","aug",""),IF(Tabell7[[#This Row],[Validering]]="ja","flip",""))</f>
        <v>B3_800_level_3_bs16_0.0005_aug</v>
      </c>
      <c r="G6" s="105" t="s">
        <v>30</v>
      </c>
      <c r="H6" s="105">
        <v>5.0000000000000001E-4</v>
      </c>
      <c r="I6" s="105" t="s">
        <v>209</v>
      </c>
      <c r="J6" s="105">
        <v>16</v>
      </c>
      <c r="K6" s="105" t="s">
        <v>208</v>
      </c>
      <c r="L6" s="105" t="s">
        <v>149</v>
      </c>
      <c r="M6" s="108">
        <v>5.2002314814814814E-2</v>
      </c>
      <c r="N6" s="105" t="s">
        <v>302</v>
      </c>
      <c r="O6" s="113">
        <v>0.79546859999999997</v>
      </c>
      <c r="P6" s="113">
        <v>0.77508089999999996</v>
      </c>
      <c r="Q6" s="113">
        <v>0.49900355554074</v>
      </c>
      <c r="R6" s="113">
        <v>0.66504854368931998</v>
      </c>
      <c r="S6" s="113">
        <v>0.75864947000000005</v>
      </c>
      <c r="T6" s="113">
        <v>0.72845530000000003</v>
      </c>
      <c r="U6" s="113">
        <v>0.39472772869270401</v>
      </c>
      <c r="V6" s="113">
        <v>0.59512195121951195</v>
      </c>
      <c r="W6" s="105">
        <f>_xlfn.XLOOKUP(Tabell7[[#This Row],[Dataset (.h5)]],Datasett[Datasett (.h5)],Datasett[total]," ")</f>
        <v>823</v>
      </c>
      <c r="X6" s="110">
        <f>IFERROR(_xlfn.XLOOKUP(Tabell7[[#This Row],[Dataset (.h5)]],Datasett[Datasett (.h5)],Datasett[Normale]," ")/Tabell7[[#This Row],[Number of samples]]," ")</f>
        <v>0</v>
      </c>
      <c r="Y6" s="110">
        <f>IFERROR(_xlfn.XLOOKUP(Tabell7[[#This Row],[Dataset (.h5)]],Datasett[Datasett (.h5)],Datasett[1 artrose/sklerose]," ")/Tabell7[[#This Row],[Number of samples]]," ")</f>
        <v>0.43620899149453218</v>
      </c>
      <c r="Z6" s="110">
        <f>IFERROR(_xlfn.XLOOKUP(Tabell7[[#This Row],[Dataset (.h5)]],Datasett[Datasett (.h5)],Datasett[2 artrose]," ")/Tabell7[[#This Row],[Number of samples]]," ")</f>
        <v>0.21142162818955043</v>
      </c>
      <c r="AA6" s="110">
        <f>IFERROR(_xlfn.XLOOKUP(Tabell7[[#This Row],[Dataset (.h5)]],Datasett[Datasett (.h5)],Datasett[2 MCD]," ")/Tabell7[[#This Row],[Number of samples]]," ")</f>
        <v>8.9914945321992706E-2</v>
      </c>
      <c r="AB6" s="110">
        <f>IFERROR(_xlfn.XLOOKUP(Tabell7[[#This Row],[Dataset (.h5)]],Datasett[Datasett (.h5)],Datasett[3 artrose]," ")/Tabell7[[#This Row],[Number of samples]]," ")</f>
        <v>9.2345078979343867E-2</v>
      </c>
      <c r="AC6" s="110">
        <f>IFERROR(_xlfn.XLOOKUP(Tabell7[[#This Row],[Dataset (.h5)]],Datasett[Datasett (.h5)],Datasett[3 MCD]," ")/Tabell7[[#This Row],[Number of samples]]," ")</f>
        <v>0.13973268529769137</v>
      </c>
      <c r="AD6" s="110">
        <f>IFERROR(_xlfn.XLOOKUP(Tabell7[[#This Row],[Dataset (.h5)]],Datasett[Datasett (.h5)],Datasett[3 OCD]," ")/Tabell7[[#This Row],[Number of samples]]," ")</f>
        <v>9.7205346294046164E-3</v>
      </c>
      <c r="AE6" s="110">
        <f>IFERROR(_xlfn.XLOOKUP(Tabell7[[#This Row],[Dataset (.h5)]],Datasett[Datasett (.h5)],Datasett[3 UAP]," ")/Tabell7[[#This Row],[Number of samples]]," ")</f>
        <v>2.0656136087484813E-2</v>
      </c>
    </row>
    <row r="7" spans="1:31" ht="45">
      <c r="A7" s="105">
        <v>11835988</v>
      </c>
      <c r="B7" s="106" t="s">
        <v>301</v>
      </c>
      <c r="C7" s="105"/>
      <c r="D7" s="105" t="s">
        <v>284</v>
      </c>
      <c r="E7" s="105" t="s">
        <v>286</v>
      </c>
      <c r="F7" s="105" t="str">
        <f>_xlfn.TEXTJOIN("_",TRUE,Tabell7[[#This Row],[Kompleksitet]],Tabell7[[#This Row],[Dataset (.h5)]],_xlfn.TEXTJOIN("",TRUE,"bs",Tabell7[[#This Row],[Partistørrelse]]),Tabell7[[#This Row],[Læringsrate]],IF(Tabell7[[#This Row],[Augmentering]]="ja","aug",""),IF(Tabell7[[#This Row],[Validering]]="ja","flip",""))</f>
        <v>B4_800_level_3_bs16_0.0005_aug</v>
      </c>
      <c r="G7" s="105" t="s">
        <v>57</v>
      </c>
      <c r="H7" s="105">
        <v>5.0000000000000001E-4</v>
      </c>
      <c r="I7" s="105" t="s">
        <v>209</v>
      </c>
      <c r="J7" s="105">
        <v>16</v>
      </c>
      <c r="K7" s="105" t="s">
        <v>208</v>
      </c>
      <c r="L7" s="105" t="s">
        <v>149</v>
      </c>
      <c r="M7" s="108">
        <v>6.1400462962962969E-2</v>
      </c>
      <c r="N7" s="105" t="s">
        <v>114</v>
      </c>
      <c r="O7" s="113">
        <v>0.80694460000000001</v>
      </c>
      <c r="P7" s="113">
        <v>0.77184474000000003</v>
      </c>
      <c r="Q7" s="113">
        <v>0.49959027974925302</v>
      </c>
      <c r="R7" s="113">
        <v>0.66019417475728104</v>
      </c>
      <c r="S7" s="113">
        <v>0.71915510000000005</v>
      </c>
      <c r="T7" s="113">
        <v>0.71707314</v>
      </c>
      <c r="U7" s="113">
        <v>0.37598032114072899</v>
      </c>
      <c r="V7" s="113">
        <v>0.57073170731707301</v>
      </c>
      <c r="W7" s="105">
        <f>_xlfn.XLOOKUP(Tabell7[[#This Row],[Dataset (.h5)]],Datasett[Datasett (.h5)],Datasett[total]," ")</f>
        <v>823</v>
      </c>
      <c r="X7" s="110">
        <f>IFERROR(_xlfn.XLOOKUP(Tabell7[[#This Row],[Dataset (.h5)]],Datasett[Datasett (.h5)],Datasett[Normale]," ")/Tabell7[[#This Row],[Number of samples]]," ")</f>
        <v>0</v>
      </c>
      <c r="Y7" s="110">
        <f>IFERROR(_xlfn.XLOOKUP(Tabell7[[#This Row],[Dataset (.h5)]],Datasett[Datasett (.h5)],Datasett[1 artrose/sklerose]," ")/Tabell7[[#This Row],[Number of samples]]," ")</f>
        <v>0.43620899149453218</v>
      </c>
      <c r="Z7" s="110">
        <f>IFERROR(_xlfn.XLOOKUP(Tabell7[[#This Row],[Dataset (.h5)]],Datasett[Datasett (.h5)],Datasett[2 artrose]," ")/Tabell7[[#This Row],[Number of samples]]," ")</f>
        <v>0.21142162818955043</v>
      </c>
      <c r="AA7" s="110">
        <f>IFERROR(_xlfn.XLOOKUP(Tabell7[[#This Row],[Dataset (.h5)]],Datasett[Datasett (.h5)],Datasett[2 MCD]," ")/Tabell7[[#This Row],[Number of samples]]," ")</f>
        <v>8.9914945321992706E-2</v>
      </c>
      <c r="AB7" s="110">
        <f>IFERROR(_xlfn.XLOOKUP(Tabell7[[#This Row],[Dataset (.h5)]],Datasett[Datasett (.h5)],Datasett[3 artrose]," ")/Tabell7[[#This Row],[Number of samples]]," ")</f>
        <v>9.2345078979343867E-2</v>
      </c>
      <c r="AC7" s="110">
        <f>IFERROR(_xlfn.XLOOKUP(Tabell7[[#This Row],[Dataset (.h5)]],Datasett[Datasett (.h5)],Datasett[3 MCD]," ")/Tabell7[[#This Row],[Number of samples]]," ")</f>
        <v>0.13973268529769137</v>
      </c>
      <c r="AD7" s="110">
        <f>IFERROR(_xlfn.XLOOKUP(Tabell7[[#This Row],[Dataset (.h5)]],Datasett[Datasett (.h5)],Datasett[3 OCD]," ")/Tabell7[[#This Row],[Number of samples]]," ")</f>
        <v>9.7205346294046164E-3</v>
      </c>
      <c r="AE7" s="110">
        <f>IFERROR(_xlfn.XLOOKUP(Tabell7[[#This Row],[Dataset (.h5)]],Datasett[Datasett (.h5)],Datasett[3 UAP]," ")/Tabell7[[#This Row],[Number of samples]]," ")</f>
        <v>2.0656136087484813E-2</v>
      </c>
    </row>
    <row r="8" spans="1:31" ht="45">
      <c r="A8" s="105">
        <v>11846516</v>
      </c>
      <c r="B8" s="106" t="s">
        <v>318</v>
      </c>
      <c r="C8" s="105"/>
      <c r="D8" s="105" t="s">
        <v>284</v>
      </c>
      <c r="E8" s="105" t="s">
        <v>286</v>
      </c>
      <c r="F8" s="105" t="str">
        <f>_xlfn.TEXTJOIN("_",TRUE,Tabell7[[#This Row],[Kompleksitet]],Tabell7[[#This Row],[Dataset (.h5)]],_xlfn.TEXTJOIN("",TRUE,"bs",Tabell7[[#This Row],[Partistørrelse]]),Tabell7[[#This Row],[Læringsrate]],IF(Tabell7[[#This Row],[Augmentering]]="ja","aug",""),IF(Tabell7[[#This Row],[Validering]]="ja","flip",""))</f>
        <v>B4_800_level_3_bs8_0.0001_aug</v>
      </c>
      <c r="G8" s="105" t="s">
        <v>57</v>
      </c>
      <c r="H8" s="105">
        <v>1E-4</v>
      </c>
      <c r="I8" s="105" t="s">
        <v>209</v>
      </c>
      <c r="J8" s="105">
        <v>8</v>
      </c>
      <c r="K8" s="105" t="s">
        <v>208</v>
      </c>
      <c r="L8" s="105" t="s">
        <v>149</v>
      </c>
      <c r="M8" s="108">
        <v>6.3703703703703707E-2</v>
      </c>
      <c r="N8" s="105" t="s">
        <v>28</v>
      </c>
      <c r="O8" s="113">
        <v>0.83419149999999997</v>
      </c>
      <c r="P8" s="113">
        <v>0.78317159999999997</v>
      </c>
      <c r="Q8" s="113">
        <v>0.51074191459107299</v>
      </c>
      <c r="R8" s="113">
        <v>0.68446601941747498</v>
      </c>
      <c r="S8" s="113">
        <v>0.79672222999999998</v>
      </c>
      <c r="T8" s="113">
        <v>0.72682935000000004</v>
      </c>
      <c r="U8" s="113">
        <v>0.36518609208873998</v>
      </c>
      <c r="V8" s="113">
        <v>0.585365853658536</v>
      </c>
      <c r="W8" s="105">
        <f>_xlfn.XLOOKUP(Tabell7[[#This Row],[Dataset (.h5)]],Datasett[Datasett (.h5)],Datasett[total]," ")</f>
        <v>823</v>
      </c>
      <c r="X8" s="110">
        <f>IFERROR(_xlfn.XLOOKUP(Tabell7[[#This Row],[Dataset (.h5)]],Datasett[Datasett (.h5)],Datasett[Normale]," ")/Tabell7[[#This Row],[Number of samples]]," ")</f>
        <v>0</v>
      </c>
      <c r="Y8" s="110">
        <f>IFERROR(_xlfn.XLOOKUP(Tabell7[[#This Row],[Dataset (.h5)]],Datasett[Datasett (.h5)],Datasett[1 artrose/sklerose]," ")/Tabell7[[#This Row],[Number of samples]]," ")</f>
        <v>0.43620899149453218</v>
      </c>
      <c r="Z8" s="110">
        <f>IFERROR(_xlfn.XLOOKUP(Tabell7[[#This Row],[Dataset (.h5)]],Datasett[Datasett (.h5)],Datasett[2 artrose]," ")/Tabell7[[#This Row],[Number of samples]]," ")</f>
        <v>0.21142162818955043</v>
      </c>
      <c r="AA8" s="110">
        <f>IFERROR(_xlfn.XLOOKUP(Tabell7[[#This Row],[Dataset (.h5)]],Datasett[Datasett (.h5)],Datasett[2 MCD]," ")/Tabell7[[#This Row],[Number of samples]]," ")</f>
        <v>8.9914945321992706E-2</v>
      </c>
      <c r="AB8" s="110">
        <f>IFERROR(_xlfn.XLOOKUP(Tabell7[[#This Row],[Dataset (.h5)]],Datasett[Datasett (.h5)],Datasett[3 artrose]," ")/Tabell7[[#This Row],[Number of samples]]," ")</f>
        <v>9.2345078979343867E-2</v>
      </c>
      <c r="AC8" s="110">
        <f>IFERROR(_xlfn.XLOOKUP(Tabell7[[#This Row],[Dataset (.h5)]],Datasett[Datasett (.h5)],Datasett[3 MCD]," ")/Tabell7[[#This Row],[Number of samples]]," ")</f>
        <v>0.13973268529769137</v>
      </c>
      <c r="AD8" s="110">
        <f>IFERROR(_xlfn.XLOOKUP(Tabell7[[#This Row],[Dataset (.h5)]],Datasett[Datasett (.h5)],Datasett[3 OCD]," ")/Tabell7[[#This Row],[Number of samples]]," ")</f>
        <v>9.7205346294046164E-3</v>
      </c>
      <c r="AE8" s="110">
        <f>IFERROR(_xlfn.XLOOKUP(Tabell7[[#This Row],[Dataset (.h5)]],Datasett[Datasett (.h5)],Datasett[3 UAP]," ")/Tabell7[[#This Row],[Number of samples]]," ")</f>
        <v>2.0656136087484813E-2</v>
      </c>
    </row>
    <row r="9" spans="1:31" ht="45">
      <c r="A9" s="105">
        <v>11841361</v>
      </c>
      <c r="B9" s="106" t="s">
        <v>306</v>
      </c>
      <c r="C9" s="105"/>
      <c r="D9" s="105" t="s">
        <v>303</v>
      </c>
      <c r="E9" s="105" t="s">
        <v>304</v>
      </c>
      <c r="F9" s="105" t="str">
        <f>_xlfn.TEXTJOIN("_",TRUE,Tabell7[[#This Row],[Kompleksitet]],Tabell7[[#This Row],[Dataset (.h5)]],_xlfn.TEXTJOIN("",TRUE,"bs",Tabell7[[#This Row],[Partistørrelse]]),Tabell7[[#This Row],[Læringsrate]],IF(Tabell7[[#This Row],[Augmentering]]="ja","aug",""),IF(Tabell7[[#This Row],[Validering]]="ja","flip",""))</f>
        <v>B4_800_complete_3_bs8_0.0005</v>
      </c>
      <c r="G9" s="105" t="s">
        <v>57</v>
      </c>
      <c r="H9" s="105">
        <v>5.0000000000000001E-4</v>
      </c>
      <c r="I9" s="105" t="s">
        <v>208</v>
      </c>
      <c r="J9" s="105">
        <v>8</v>
      </c>
      <c r="K9" s="105" t="s">
        <v>208</v>
      </c>
      <c r="L9" s="105" t="s">
        <v>149</v>
      </c>
      <c r="M9" s="108">
        <v>5.0891203703703702E-2</v>
      </c>
      <c r="N9" s="105" t="s">
        <v>114</v>
      </c>
      <c r="O9" s="113">
        <v>0.83377319999999999</v>
      </c>
      <c r="P9" s="113">
        <v>0.88488215000000003</v>
      </c>
      <c r="Q9" s="113">
        <v>0.40840663688874701</v>
      </c>
      <c r="R9" s="113">
        <v>0.59223300970873705</v>
      </c>
      <c r="S9" s="113">
        <v>0.83292869999999997</v>
      </c>
      <c r="T9" s="113">
        <v>0.87665510000000002</v>
      </c>
      <c r="U9" s="113">
        <v>0.36462163796477398</v>
      </c>
      <c r="V9" s="113">
        <v>0.56585365853658498</v>
      </c>
      <c r="W9" s="105">
        <f>_xlfn.XLOOKUP(Tabell7[[#This Row],[Dataset (.h5)]],Datasett[Datasett (.h5)],Datasett[total]," ")</f>
        <v>823</v>
      </c>
      <c r="X9" s="110">
        <f>IFERROR(_xlfn.XLOOKUP(Tabell7[[#This Row],[Dataset (.h5)]],Datasett[Datasett (.h5)],Datasett[Normale]," ")/Tabell7[[#This Row],[Number of samples]]," ")</f>
        <v>0</v>
      </c>
      <c r="Y9" s="110">
        <f>IFERROR(_xlfn.XLOOKUP(Tabell7[[#This Row],[Dataset (.h5)]],Datasett[Datasett (.h5)],Datasett[1 artrose/sklerose]," ")/Tabell7[[#This Row],[Number of samples]]," ")</f>
        <v>0.43620899149453218</v>
      </c>
      <c r="Z9" s="110">
        <f>IFERROR(_xlfn.XLOOKUP(Tabell7[[#This Row],[Dataset (.h5)]],Datasett[Datasett (.h5)],Datasett[2 artrose]," ")/Tabell7[[#This Row],[Number of samples]]," ")</f>
        <v>0.21142162818955043</v>
      </c>
      <c r="AA9" s="110">
        <f>IFERROR(_xlfn.XLOOKUP(Tabell7[[#This Row],[Dataset (.h5)]],Datasett[Datasett (.h5)],Datasett[2 MCD]," ")/Tabell7[[#This Row],[Number of samples]]," ")</f>
        <v>8.9914945321992706E-2</v>
      </c>
      <c r="AB9" s="110">
        <f>IFERROR(_xlfn.XLOOKUP(Tabell7[[#This Row],[Dataset (.h5)]],Datasett[Datasett (.h5)],Datasett[3 artrose]," ")/Tabell7[[#This Row],[Number of samples]]," ")</f>
        <v>9.2345078979343867E-2</v>
      </c>
      <c r="AC9" s="110">
        <f>IFERROR(_xlfn.XLOOKUP(Tabell7[[#This Row],[Dataset (.h5)]],Datasett[Datasett (.h5)],Datasett[3 MCD]," ")/Tabell7[[#This Row],[Number of samples]]," ")</f>
        <v>0.13973268529769137</v>
      </c>
      <c r="AD9" s="110">
        <f>IFERROR(_xlfn.XLOOKUP(Tabell7[[#This Row],[Dataset (.h5)]],Datasett[Datasett (.h5)],Datasett[3 OCD]," ")/Tabell7[[#This Row],[Number of samples]]," ")</f>
        <v>9.7205346294046164E-3</v>
      </c>
      <c r="AE9" s="110">
        <f>IFERROR(_xlfn.XLOOKUP(Tabell7[[#This Row],[Dataset (.h5)]],Datasett[Datasett (.h5)],Datasett[3 UAP]," ")/Tabell7[[#This Row],[Number of samples]]," ")</f>
        <v>2.0656136087484813E-2</v>
      </c>
    </row>
    <row r="10" spans="1:31" ht="45">
      <c r="A10" s="105">
        <v>11856582</v>
      </c>
      <c r="B10" s="106" t="s">
        <v>321</v>
      </c>
      <c r="C10" s="105"/>
      <c r="D10" s="105" t="s">
        <v>284</v>
      </c>
      <c r="E10" s="105" t="s">
        <v>286</v>
      </c>
      <c r="F10" s="105" t="str">
        <f>_xlfn.TEXTJOIN("_",TRUE,Tabell7[[#This Row],[Kompleksitet]],Tabell7[[#This Row],[Dataset (.h5)]],_xlfn.TEXTJOIN("",TRUE,"bs",Tabell7[[#This Row],[Partistørrelse]]),Tabell7[[#This Row],[Læringsrate]],IF(Tabell7[[#This Row],[Augmentering]]="ja","aug",""),IF(Tabell7[[#This Row],[Validering]]="ja","flip",""))</f>
        <v>B4_800_level_3_bs8_0.001_aug</v>
      </c>
      <c r="G10" s="105" t="s">
        <v>57</v>
      </c>
      <c r="H10" s="105">
        <v>1E-3</v>
      </c>
      <c r="I10" s="105" t="s">
        <v>209</v>
      </c>
      <c r="J10" s="105">
        <v>8</v>
      </c>
      <c r="K10" s="105" t="s">
        <v>208</v>
      </c>
      <c r="L10" s="105" t="s">
        <v>149</v>
      </c>
      <c r="M10" s="108">
        <v>6.1550925925925926E-2</v>
      </c>
      <c r="N10" s="105" t="s">
        <v>98</v>
      </c>
      <c r="O10" s="113">
        <v>0.80375160000000001</v>
      </c>
      <c r="P10" s="113">
        <v>0.77022654000000002</v>
      </c>
      <c r="Q10" s="113">
        <v>0.47925497910342901</v>
      </c>
      <c r="R10" s="113">
        <v>0.66504854368931998</v>
      </c>
      <c r="S10" s="113">
        <v>0.75030344999999998</v>
      </c>
      <c r="T10" s="113">
        <v>0.72357726</v>
      </c>
      <c r="U10" s="113">
        <v>0.35499016438840802</v>
      </c>
      <c r="V10" s="113">
        <v>0.585365853658536</v>
      </c>
      <c r="W10" s="105">
        <f>_xlfn.XLOOKUP(Tabell7[[#This Row],[Dataset (.h5)]],Datasett[Datasett (.h5)],Datasett[total]," ")</f>
        <v>823</v>
      </c>
      <c r="X10" s="110">
        <f>IFERROR(_xlfn.XLOOKUP(Tabell7[[#This Row],[Dataset (.h5)]],Datasett[Datasett (.h5)],Datasett[Normale]," ")/Tabell7[[#This Row],[Number of samples]]," ")</f>
        <v>0</v>
      </c>
      <c r="Y10" s="110">
        <f>IFERROR(_xlfn.XLOOKUP(Tabell7[[#This Row],[Dataset (.h5)]],Datasett[Datasett (.h5)],Datasett[1 artrose/sklerose]," ")/Tabell7[[#This Row],[Number of samples]]," ")</f>
        <v>0.43620899149453218</v>
      </c>
      <c r="Z10" s="110">
        <f>IFERROR(_xlfn.XLOOKUP(Tabell7[[#This Row],[Dataset (.h5)]],Datasett[Datasett (.h5)],Datasett[2 artrose]," ")/Tabell7[[#This Row],[Number of samples]]," ")</f>
        <v>0.21142162818955043</v>
      </c>
      <c r="AA10" s="110">
        <f>IFERROR(_xlfn.XLOOKUP(Tabell7[[#This Row],[Dataset (.h5)]],Datasett[Datasett (.h5)],Datasett[2 MCD]," ")/Tabell7[[#This Row],[Number of samples]]," ")</f>
        <v>8.9914945321992706E-2</v>
      </c>
      <c r="AB10" s="110">
        <f>IFERROR(_xlfn.XLOOKUP(Tabell7[[#This Row],[Dataset (.h5)]],Datasett[Datasett (.h5)],Datasett[3 artrose]," ")/Tabell7[[#This Row],[Number of samples]]," ")</f>
        <v>9.2345078979343867E-2</v>
      </c>
      <c r="AC10" s="110">
        <f>IFERROR(_xlfn.XLOOKUP(Tabell7[[#This Row],[Dataset (.h5)]],Datasett[Datasett (.h5)],Datasett[3 MCD]," ")/Tabell7[[#This Row],[Number of samples]]," ")</f>
        <v>0.13973268529769137</v>
      </c>
      <c r="AD10" s="110">
        <f>IFERROR(_xlfn.XLOOKUP(Tabell7[[#This Row],[Dataset (.h5)]],Datasett[Datasett (.h5)],Datasett[3 OCD]," ")/Tabell7[[#This Row],[Number of samples]]," ")</f>
        <v>9.7205346294046164E-3</v>
      </c>
      <c r="AE10" s="110">
        <f>IFERROR(_xlfn.XLOOKUP(Tabell7[[#This Row],[Dataset (.h5)]],Datasett[Datasett (.h5)],Datasett[3 UAP]," ")/Tabell7[[#This Row],[Number of samples]]," ")</f>
        <v>2.0656136087484813E-2</v>
      </c>
    </row>
    <row r="11" spans="1:31" ht="45">
      <c r="A11" s="105">
        <v>11846515</v>
      </c>
      <c r="B11" s="106" t="s">
        <v>317</v>
      </c>
      <c r="C11" s="105"/>
      <c r="D11" s="105" t="s">
        <v>284</v>
      </c>
      <c r="E11" s="105" t="s">
        <v>286</v>
      </c>
      <c r="F11" s="105" t="str">
        <f>_xlfn.TEXTJOIN("_",TRUE,Tabell7[[#This Row],[Kompleksitet]],Tabell7[[#This Row],[Dataset (.h5)]],_xlfn.TEXTJOIN("",TRUE,"bs",Tabell7[[#This Row],[Partistørrelse]]),Tabell7[[#This Row],[Læringsrate]],IF(Tabell7[[#This Row],[Augmentering]]="ja","aug",""),IF(Tabell7[[#This Row],[Validering]]="ja","flip",""))</f>
        <v>B3_800_level_3_bs16_0.0001_aug</v>
      </c>
      <c r="G11" s="105" t="s">
        <v>30</v>
      </c>
      <c r="H11" s="105">
        <v>1E-4</v>
      </c>
      <c r="I11" s="105" t="s">
        <v>209</v>
      </c>
      <c r="J11" s="105">
        <v>16</v>
      </c>
      <c r="K11" s="105" t="s">
        <v>208</v>
      </c>
      <c r="L11" s="105" t="s">
        <v>149</v>
      </c>
      <c r="M11" s="108">
        <v>5.303240740740741E-2</v>
      </c>
      <c r="N11" s="105" t="s">
        <v>319</v>
      </c>
      <c r="O11" s="113">
        <v>0.83062725999999998</v>
      </c>
      <c r="P11" s="113">
        <v>0.77831715000000001</v>
      </c>
      <c r="Q11" s="113">
        <v>0.49559048514039999</v>
      </c>
      <c r="R11" s="113">
        <v>0.67475728155339798</v>
      </c>
      <c r="S11" s="113">
        <v>0.78148720000000005</v>
      </c>
      <c r="T11" s="113">
        <v>0.71869916</v>
      </c>
      <c r="U11" s="113">
        <v>0.33126351196496501</v>
      </c>
      <c r="V11" s="113">
        <v>0.57073170731707301</v>
      </c>
      <c r="W11" s="105">
        <f>_xlfn.XLOOKUP(Tabell7[[#This Row],[Dataset (.h5)]],Datasett[Datasett (.h5)],Datasett[total]," ")</f>
        <v>823</v>
      </c>
      <c r="X11" s="110">
        <f>IFERROR(_xlfn.XLOOKUP(Tabell7[[#This Row],[Dataset (.h5)]],Datasett[Datasett (.h5)],Datasett[Normale]," ")/Tabell7[[#This Row],[Number of samples]]," ")</f>
        <v>0</v>
      </c>
      <c r="Y11" s="110">
        <f>IFERROR(_xlfn.XLOOKUP(Tabell7[[#This Row],[Dataset (.h5)]],Datasett[Datasett (.h5)],Datasett[1 artrose/sklerose]," ")/Tabell7[[#This Row],[Number of samples]]," ")</f>
        <v>0.43620899149453218</v>
      </c>
      <c r="Z11" s="110">
        <f>IFERROR(_xlfn.XLOOKUP(Tabell7[[#This Row],[Dataset (.h5)]],Datasett[Datasett (.h5)],Datasett[2 artrose]," ")/Tabell7[[#This Row],[Number of samples]]," ")</f>
        <v>0.21142162818955043</v>
      </c>
      <c r="AA11" s="110">
        <f>IFERROR(_xlfn.XLOOKUP(Tabell7[[#This Row],[Dataset (.h5)]],Datasett[Datasett (.h5)],Datasett[2 MCD]," ")/Tabell7[[#This Row],[Number of samples]]," ")</f>
        <v>8.9914945321992706E-2</v>
      </c>
      <c r="AB11" s="110">
        <f>IFERROR(_xlfn.XLOOKUP(Tabell7[[#This Row],[Dataset (.h5)]],Datasett[Datasett (.h5)],Datasett[3 artrose]," ")/Tabell7[[#This Row],[Number of samples]]," ")</f>
        <v>9.2345078979343867E-2</v>
      </c>
      <c r="AC11" s="110">
        <f>IFERROR(_xlfn.XLOOKUP(Tabell7[[#This Row],[Dataset (.h5)]],Datasett[Datasett (.h5)],Datasett[3 MCD]," ")/Tabell7[[#This Row],[Number of samples]]," ")</f>
        <v>0.13973268529769137</v>
      </c>
      <c r="AD11" s="110">
        <f>IFERROR(_xlfn.XLOOKUP(Tabell7[[#This Row],[Dataset (.h5)]],Datasett[Datasett (.h5)],Datasett[3 OCD]," ")/Tabell7[[#This Row],[Number of samples]]," ")</f>
        <v>9.7205346294046164E-3</v>
      </c>
      <c r="AE11" s="110">
        <f>IFERROR(_xlfn.XLOOKUP(Tabell7[[#This Row],[Dataset (.h5)]],Datasett[Datasett (.h5)],Datasett[3 UAP]," ")/Tabell7[[#This Row],[Number of samples]]," ")</f>
        <v>2.0656136087484813E-2</v>
      </c>
    </row>
    <row r="12" spans="1:31" ht="45">
      <c r="A12" s="105">
        <v>11835840</v>
      </c>
      <c r="B12" s="106" t="s">
        <v>298</v>
      </c>
      <c r="C12" s="105"/>
      <c r="D12" s="105" t="s">
        <v>284</v>
      </c>
      <c r="E12" s="105" t="s">
        <v>286</v>
      </c>
      <c r="F12" s="105" t="str">
        <f>_xlfn.TEXTJOIN("_",TRUE,Tabell7[[#This Row],[Kompleksitet]],Tabell7[[#This Row],[Dataset (.h5)]],_xlfn.TEXTJOIN("",TRUE,"bs",Tabell7[[#This Row],[Partistørrelse]]),Tabell7[[#This Row],[Læringsrate]],IF(Tabell7[[#This Row],[Augmentering]]="ja","aug",""),IF(Tabell7[[#This Row],[Validering]]="ja","flip",""))</f>
        <v>B4_800_level_3_bs8_0.0005</v>
      </c>
      <c r="G12" s="105" t="s">
        <v>57</v>
      </c>
      <c r="H12" s="105">
        <v>5.0000000000000001E-4</v>
      </c>
      <c r="I12" s="105" t="s">
        <v>208</v>
      </c>
      <c r="J12" s="105">
        <v>8</v>
      </c>
      <c r="K12" s="105" t="s">
        <v>208</v>
      </c>
      <c r="L12" s="105" t="s">
        <v>149</v>
      </c>
      <c r="M12" s="108">
        <v>4.8749999999999995E-2</v>
      </c>
      <c r="N12" s="105" t="s">
        <v>28</v>
      </c>
      <c r="O12" s="113">
        <v>0.812612</v>
      </c>
      <c r="P12" s="113">
        <v>0.76213589999999998</v>
      </c>
      <c r="Q12" s="113">
        <v>0.45499891013660998</v>
      </c>
      <c r="R12" s="113">
        <v>0.64563106796116498</v>
      </c>
      <c r="S12" s="113">
        <v>0.73520529999999995</v>
      </c>
      <c r="T12" s="113">
        <v>0.70081305999999999</v>
      </c>
      <c r="U12" s="113">
        <v>0.32272843077857999</v>
      </c>
      <c r="V12" s="113">
        <v>0.54634146341463397</v>
      </c>
      <c r="W12" s="105">
        <f>_xlfn.XLOOKUP(Tabell7[[#This Row],[Dataset (.h5)]],Datasett[Datasett (.h5)],Datasett[total]," ")</f>
        <v>823</v>
      </c>
      <c r="X12" s="110">
        <f>IFERROR(_xlfn.XLOOKUP(Tabell7[[#This Row],[Dataset (.h5)]],Datasett[Datasett (.h5)],Datasett[Normale]," ")/Tabell7[[#This Row],[Number of samples]]," ")</f>
        <v>0</v>
      </c>
      <c r="Y12" s="110">
        <f>IFERROR(_xlfn.XLOOKUP(Tabell7[[#This Row],[Dataset (.h5)]],Datasett[Datasett (.h5)],Datasett[1 artrose/sklerose]," ")/Tabell7[[#This Row],[Number of samples]]," ")</f>
        <v>0.43620899149453218</v>
      </c>
      <c r="Z12" s="110">
        <f>IFERROR(_xlfn.XLOOKUP(Tabell7[[#This Row],[Dataset (.h5)]],Datasett[Datasett (.h5)],Datasett[2 artrose]," ")/Tabell7[[#This Row],[Number of samples]]," ")</f>
        <v>0.21142162818955043</v>
      </c>
      <c r="AA12" s="110">
        <f>IFERROR(_xlfn.XLOOKUP(Tabell7[[#This Row],[Dataset (.h5)]],Datasett[Datasett (.h5)],Datasett[2 MCD]," ")/Tabell7[[#This Row],[Number of samples]]," ")</f>
        <v>8.9914945321992706E-2</v>
      </c>
      <c r="AB12" s="110">
        <f>IFERROR(_xlfn.XLOOKUP(Tabell7[[#This Row],[Dataset (.h5)]],Datasett[Datasett (.h5)],Datasett[3 artrose]," ")/Tabell7[[#This Row],[Number of samples]]," ")</f>
        <v>9.2345078979343867E-2</v>
      </c>
      <c r="AC12" s="110">
        <f>IFERROR(_xlfn.XLOOKUP(Tabell7[[#This Row],[Dataset (.h5)]],Datasett[Datasett (.h5)],Datasett[3 MCD]," ")/Tabell7[[#This Row],[Number of samples]]," ")</f>
        <v>0.13973268529769137</v>
      </c>
      <c r="AD12" s="110">
        <f>IFERROR(_xlfn.XLOOKUP(Tabell7[[#This Row],[Dataset (.h5)]],Datasett[Datasett (.h5)],Datasett[3 OCD]," ")/Tabell7[[#This Row],[Number of samples]]," ")</f>
        <v>9.7205346294046164E-3</v>
      </c>
      <c r="AE12" s="110">
        <f>IFERROR(_xlfn.XLOOKUP(Tabell7[[#This Row],[Dataset (.h5)]],Datasett[Datasett (.h5)],Datasett[3 UAP]," ")/Tabell7[[#This Row],[Number of samples]]," ")</f>
        <v>2.0656136087484813E-2</v>
      </c>
    </row>
    <row r="13" spans="1:31" ht="45">
      <c r="A13" s="105">
        <v>12364577</v>
      </c>
      <c r="B13" s="106" t="s">
        <v>404</v>
      </c>
      <c r="C13" s="105" t="s">
        <v>411</v>
      </c>
      <c r="D13" s="105" t="s">
        <v>284</v>
      </c>
      <c r="E13" s="105" t="s">
        <v>286</v>
      </c>
      <c r="F13" s="105" t="str">
        <f>_xlfn.TEXTJOIN("_",TRUE,Tabell7[[#This Row],[Kompleksitet]],Tabell7[[#This Row],[Dataset (.h5)]],_xlfn.TEXTJOIN("",TRUE,"bs",Tabell7[[#This Row],[Partistørrelse]]),Tabell7[[#This Row],[Læringsrate]],IF(Tabell7[[#This Row],[Augmentering]]="ja","aug",""),IF(Tabell7[[#This Row],[Validering]]="ja","flip",""))</f>
        <v>B0_800_level_3_bs16_0.0005</v>
      </c>
      <c r="G13" s="105" t="s">
        <v>34</v>
      </c>
      <c r="H13" s="105">
        <v>5.0000000000000001E-4</v>
      </c>
      <c r="I13" s="105" t="s">
        <v>208</v>
      </c>
      <c r="J13" s="105">
        <v>16</v>
      </c>
      <c r="K13" s="105" t="s">
        <v>208</v>
      </c>
      <c r="L13" s="105" t="s">
        <v>149</v>
      </c>
      <c r="M13" s="108"/>
      <c r="N13" s="105"/>
      <c r="O13" s="113">
        <v>0.70933880000000005</v>
      </c>
      <c r="P13" s="113">
        <v>0.67313915000000002</v>
      </c>
      <c r="Q13" s="113">
        <v>0.24333285620468501</v>
      </c>
      <c r="R13" s="113">
        <v>0.50485436893203794</v>
      </c>
      <c r="S13" s="113">
        <v>0.72288512999999999</v>
      </c>
      <c r="T13" s="113">
        <v>0.70243900000000004</v>
      </c>
      <c r="U13" s="113">
        <v>0.32146325435863699</v>
      </c>
      <c r="V13" s="113">
        <v>0.54634146341463397</v>
      </c>
      <c r="W13" s="105">
        <f>_xlfn.XLOOKUP(Tabell7[[#This Row],[Dataset (.h5)]],Datasett[Datasett (.h5)],Datasett[total]," ")</f>
        <v>823</v>
      </c>
      <c r="X13" s="110">
        <f>IFERROR(_xlfn.XLOOKUP(Tabell7[[#This Row],[Dataset (.h5)]],Datasett[Datasett (.h5)],Datasett[Normale]," ")/Tabell7[[#This Row],[Number of samples]]," ")</f>
        <v>0</v>
      </c>
      <c r="Y13" s="110">
        <f>IFERROR(_xlfn.XLOOKUP(Tabell7[[#This Row],[Dataset (.h5)]],Datasett[Datasett (.h5)],Datasett[1 artrose/sklerose]," ")/Tabell7[[#This Row],[Number of samples]]," ")</f>
        <v>0.43620899149453218</v>
      </c>
      <c r="Z13" s="110">
        <f>IFERROR(_xlfn.XLOOKUP(Tabell7[[#This Row],[Dataset (.h5)]],Datasett[Datasett (.h5)],Datasett[2 artrose]," ")/Tabell7[[#This Row],[Number of samples]]," ")</f>
        <v>0.21142162818955043</v>
      </c>
      <c r="AA13" s="110">
        <f>IFERROR(_xlfn.XLOOKUP(Tabell7[[#This Row],[Dataset (.h5)]],Datasett[Datasett (.h5)],Datasett[2 MCD]," ")/Tabell7[[#This Row],[Number of samples]]," ")</f>
        <v>8.9914945321992706E-2</v>
      </c>
      <c r="AB13" s="110">
        <f>IFERROR(_xlfn.XLOOKUP(Tabell7[[#This Row],[Dataset (.h5)]],Datasett[Datasett (.h5)],Datasett[3 artrose]," ")/Tabell7[[#This Row],[Number of samples]]," ")</f>
        <v>9.2345078979343867E-2</v>
      </c>
      <c r="AC13" s="110">
        <f>IFERROR(_xlfn.XLOOKUP(Tabell7[[#This Row],[Dataset (.h5)]],Datasett[Datasett (.h5)],Datasett[3 MCD]," ")/Tabell7[[#This Row],[Number of samples]]," ")</f>
        <v>0.13973268529769137</v>
      </c>
      <c r="AD13" s="110">
        <f>IFERROR(_xlfn.XLOOKUP(Tabell7[[#This Row],[Dataset (.h5)]],Datasett[Datasett (.h5)],Datasett[3 OCD]," ")/Tabell7[[#This Row],[Number of samples]]," ")</f>
        <v>9.7205346294046164E-3</v>
      </c>
      <c r="AE13" s="110">
        <f>IFERROR(_xlfn.XLOOKUP(Tabell7[[#This Row],[Dataset (.h5)]],Datasett[Datasett (.h5)],Datasett[3 UAP]," ")/Tabell7[[#This Row],[Number of samples]]," ")</f>
        <v>2.0656136087484813E-2</v>
      </c>
    </row>
    <row r="14" spans="1:31" ht="45">
      <c r="A14" s="105">
        <v>11841508</v>
      </c>
      <c r="B14" s="106" t="s">
        <v>311</v>
      </c>
      <c r="C14" s="105"/>
      <c r="D14" s="105" t="s">
        <v>303</v>
      </c>
      <c r="E14" s="105" t="s">
        <v>304</v>
      </c>
      <c r="F14" s="105" t="str">
        <f>_xlfn.TEXTJOIN("_",TRUE,Tabell7[[#This Row],[Kompleksitet]],Tabell7[[#This Row],[Dataset (.h5)]],_xlfn.TEXTJOIN("",TRUE,"bs",Tabell7[[#This Row],[Partistørrelse]]),Tabell7[[#This Row],[Læringsrate]],IF(Tabell7[[#This Row],[Augmentering]]="ja","aug",""),IF(Tabell7[[#This Row],[Validering]]="ja","flip",""))</f>
        <v>B4_800_complete_3_bs8_0.0005_aug</v>
      </c>
      <c r="G14" s="105" t="s">
        <v>57</v>
      </c>
      <c r="H14" s="105">
        <v>5.0000000000000001E-4</v>
      </c>
      <c r="I14" s="105" t="s">
        <v>209</v>
      </c>
      <c r="J14" s="105">
        <v>8</v>
      </c>
      <c r="K14" s="105" t="s">
        <v>208</v>
      </c>
      <c r="L14" s="105" t="s">
        <v>149</v>
      </c>
      <c r="M14" s="108">
        <v>7.7071759259259257E-2</v>
      </c>
      <c r="N14" s="105" t="s">
        <v>312</v>
      </c>
      <c r="O14" s="113">
        <v>0.834928</v>
      </c>
      <c r="P14" s="113">
        <v>0.88626903000000001</v>
      </c>
      <c r="Q14" s="113">
        <v>0.411172313037237</v>
      </c>
      <c r="R14" s="113">
        <v>0.58737864077669899</v>
      </c>
      <c r="S14" s="113">
        <v>0.81425333</v>
      </c>
      <c r="T14" s="113">
        <v>0.86620220000000003</v>
      </c>
      <c r="U14" s="113">
        <v>0.31222801510340098</v>
      </c>
      <c r="V14" s="113">
        <v>0.517073170731707</v>
      </c>
      <c r="W14" s="105">
        <f>_xlfn.XLOOKUP(Tabell7[[#This Row],[Dataset (.h5)]],Datasett[Datasett (.h5)],Datasett[total]," ")</f>
        <v>823</v>
      </c>
      <c r="X14" s="110">
        <f>IFERROR(_xlfn.XLOOKUP(Tabell7[[#This Row],[Dataset (.h5)]],Datasett[Datasett (.h5)],Datasett[Normale]," ")/Tabell7[[#This Row],[Number of samples]]," ")</f>
        <v>0</v>
      </c>
      <c r="Y14" s="110">
        <f>IFERROR(_xlfn.XLOOKUP(Tabell7[[#This Row],[Dataset (.h5)]],Datasett[Datasett (.h5)],Datasett[1 artrose/sklerose]," ")/Tabell7[[#This Row],[Number of samples]]," ")</f>
        <v>0.43620899149453218</v>
      </c>
      <c r="Z14" s="110">
        <f>IFERROR(_xlfn.XLOOKUP(Tabell7[[#This Row],[Dataset (.h5)]],Datasett[Datasett (.h5)],Datasett[2 artrose]," ")/Tabell7[[#This Row],[Number of samples]]," ")</f>
        <v>0.21142162818955043</v>
      </c>
      <c r="AA14" s="110">
        <f>IFERROR(_xlfn.XLOOKUP(Tabell7[[#This Row],[Dataset (.h5)]],Datasett[Datasett (.h5)],Datasett[2 MCD]," ")/Tabell7[[#This Row],[Number of samples]]," ")</f>
        <v>8.9914945321992706E-2</v>
      </c>
      <c r="AB14" s="110">
        <f>IFERROR(_xlfn.XLOOKUP(Tabell7[[#This Row],[Dataset (.h5)]],Datasett[Datasett (.h5)],Datasett[3 artrose]," ")/Tabell7[[#This Row],[Number of samples]]," ")</f>
        <v>9.2345078979343867E-2</v>
      </c>
      <c r="AC14" s="110">
        <f>IFERROR(_xlfn.XLOOKUP(Tabell7[[#This Row],[Dataset (.h5)]],Datasett[Datasett (.h5)],Datasett[3 MCD]," ")/Tabell7[[#This Row],[Number of samples]]," ")</f>
        <v>0.13973268529769137</v>
      </c>
      <c r="AD14" s="110">
        <f>IFERROR(_xlfn.XLOOKUP(Tabell7[[#This Row],[Dataset (.h5)]],Datasett[Datasett (.h5)],Datasett[3 OCD]," ")/Tabell7[[#This Row],[Number of samples]]," ")</f>
        <v>9.7205346294046164E-3</v>
      </c>
      <c r="AE14" s="110">
        <f>IFERROR(_xlfn.XLOOKUP(Tabell7[[#This Row],[Dataset (.h5)]],Datasett[Datasett (.h5)],Datasett[3 UAP]," ")/Tabell7[[#This Row],[Number of samples]]," ")</f>
        <v>2.0656136087484813E-2</v>
      </c>
    </row>
    <row r="15" spans="1:31" ht="45">
      <c r="A15" s="105">
        <v>11835839</v>
      </c>
      <c r="B15" s="106" t="s">
        <v>297</v>
      </c>
      <c r="C15" s="105"/>
      <c r="D15" s="105" t="s">
        <v>284</v>
      </c>
      <c r="E15" s="105" t="s">
        <v>286</v>
      </c>
      <c r="F15" s="105" t="str">
        <f>_xlfn.TEXTJOIN("_",TRUE,Tabell7[[#This Row],[Kompleksitet]],Tabell7[[#This Row],[Dataset (.h5)]],_xlfn.TEXTJOIN("",TRUE,"bs",Tabell7[[#This Row],[Partistørrelse]]),Tabell7[[#This Row],[Læringsrate]],IF(Tabell7[[#This Row],[Augmentering]]="ja","aug",""),IF(Tabell7[[#This Row],[Validering]]="ja","flip",""))</f>
        <v>B3_800_level_3_bs16_0.0005</v>
      </c>
      <c r="G15" s="105" t="s">
        <v>30</v>
      </c>
      <c r="H15" s="105">
        <v>5.0000000000000001E-4</v>
      </c>
      <c r="I15" s="105" t="s">
        <v>208</v>
      </c>
      <c r="J15" s="105">
        <v>16</v>
      </c>
      <c r="K15" s="105" t="s">
        <v>208</v>
      </c>
      <c r="L15" s="105" t="s">
        <v>149</v>
      </c>
      <c r="M15" s="108">
        <v>3.8935185185185191E-2</v>
      </c>
      <c r="N15" s="105" t="s">
        <v>299</v>
      </c>
      <c r="O15" s="113">
        <v>0.78637239999999997</v>
      </c>
      <c r="P15" s="113">
        <v>0.7799353</v>
      </c>
      <c r="Q15" s="113">
        <v>0.48207699938770998</v>
      </c>
      <c r="R15" s="113">
        <v>0.66504854368931998</v>
      </c>
      <c r="S15" s="113">
        <v>0.75251049999999997</v>
      </c>
      <c r="T15" s="113">
        <v>0.70569110000000002</v>
      </c>
      <c r="U15" s="113">
        <v>0.32010678759508399</v>
      </c>
      <c r="V15" s="113">
        <v>0.55609756097560903</v>
      </c>
      <c r="W15" s="105">
        <f>_xlfn.XLOOKUP(Tabell7[[#This Row],[Dataset (.h5)]],Datasett[Datasett (.h5)],Datasett[total]," ")</f>
        <v>823</v>
      </c>
      <c r="X15" s="110">
        <f>IFERROR(_xlfn.XLOOKUP(Tabell7[[#This Row],[Dataset (.h5)]],Datasett[Datasett (.h5)],Datasett[Normale]," ")/Tabell7[[#This Row],[Number of samples]]," ")</f>
        <v>0</v>
      </c>
      <c r="Y15" s="110">
        <f>IFERROR(_xlfn.XLOOKUP(Tabell7[[#This Row],[Dataset (.h5)]],Datasett[Datasett (.h5)],Datasett[1 artrose/sklerose]," ")/Tabell7[[#This Row],[Number of samples]]," ")</f>
        <v>0.43620899149453218</v>
      </c>
      <c r="Z15" s="110">
        <f>IFERROR(_xlfn.XLOOKUP(Tabell7[[#This Row],[Dataset (.h5)]],Datasett[Datasett (.h5)],Datasett[2 artrose]," ")/Tabell7[[#This Row],[Number of samples]]," ")</f>
        <v>0.21142162818955043</v>
      </c>
      <c r="AA15" s="110">
        <f>IFERROR(_xlfn.XLOOKUP(Tabell7[[#This Row],[Dataset (.h5)]],Datasett[Datasett (.h5)],Datasett[2 MCD]," ")/Tabell7[[#This Row],[Number of samples]]," ")</f>
        <v>8.9914945321992706E-2</v>
      </c>
      <c r="AB15" s="110">
        <f>IFERROR(_xlfn.XLOOKUP(Tabell7[[#This Row],[Dataset (.h5)]],Datasett[Datasett (.h5)],Datasett[3 artrose]," ")/Tabell7[[#This Row],[Number of samples]]," ")</f>
        <v>9.2345078979343867E-2</v>
      </c>
      <c r="AC15" s="110">
        <f>IFERROR(_xlfn.XLOOKUP(Tabell7[[#This Row],[Dataset (.h5)]],Datasett[Datasett (.h5)],Datasett[3 MCD]," ")/Tabell7[[#This Row],[Number of samples]]," ")</f>
        <v>0.13973268529769137</v>
      </c>
      <c r="AD15" s="110">
        <f>IFERROR(_xlfn.XLOOKUP(Tabell7[[#This Row],[Dataset (.h5)]],Datasett[Datasett (.h5)],Datasett[3 OCD]," ")/Tabell7[[#This Row],[Number of samples]]," ")</f>
        <v>9.7205346294046164E-3</v>
      </c>
      <c r="AE15" s="110">
        <f>IFERROR(_xlfn.XLOOKUP(Tabell7[[#This Row],[Dataset (.h5)]],Datasett[Datasett (.h5)],Datasett[3 UAP]," ")/Tabell7[[#This Row],[Number of samples]]," ")</f>
        <v>2.0656136087484813E-2</v>
      </c>
    </row>
    <row r="16" spans="1:31" ht="45">
      <c r="A16" s="105">
        <v>11841360</v>
      </c>
      <c r="B16" s="106" t="s">
        <v>305</v>
      </c>
      <c r="C16" s="105"/>
      <c r="D16" s="105" t="s">
        <v>303</v>
      </c>
      <c r="E16" s="105" t="s">
        <v>304</v>
      </c>
      <c r="F16" s="105" t="str">
        <f>_xlfn.TEXTJOIN("_",TRUE,Tabell7[[#This Row],[Kompleksitet]],Tabell7[[#This Row],[Dataset (.h5)]],_xlfn.TEXTJOIN("",TRUE,"bs",Tabell7[[#This Row],[Partistørrelse]]),Tabell7[[#This Row],[Læringsrate]],IF(Tabell7[[#This Row],[Augmentering]]="ja","aug",""),IF(Tabell7[[#This Row],[Validering]]="ja","flip",""))</f>
        <v>B3_800_complete_3_bs16_0.0005</v>
      </c>
      <c r="G16" s="105" t="s">
        <v>30</v>
      </c>
      <c r="H16" s="105">
        <v>5.0000000000000001E-4</v>
      </c>
      <c r="I16" s="105" t="s">
        <v>208</v>
      </c>
      <c r="J16" s="105">
        <v>16</v>
      </c>
      <c r="K16" s="105" t="s">
        <v>208</v>
      </c>
      <c r="L16" s="105" t="s">
        <v>149</v>
      </c>
      <c r="M16" s="108">
        <v>4.0439814814814817E-2</v>
      </c>
      <c r="N16" s="105" t="s">
        <v>114</v>
      </c>
      <c r="O16" s="113">
        <v>0.78232900000000005</v>
      </c>
      <c r="P16" s="113">
        <v>0.85852987000000003</v>
      </c>
      <c r="Q16" s="113">
        <v>0.29037106539250401</v>
      </c>
      <c r="R16" s="113">
        <v>0.509708737864077</v>
      </c>
      <c r="S16" s="113">
        <v>0.77246875000000004</v>
      </c>
      <c r="T16" s="113">
        <v>0.85505222999999997</v>
      </c>
      <c r="U16" s="113">
        <v>0.25689100529252601</v>
      </c>
      <c r="V16" s="113">
        <v>0.47317073170731699</v>
      </c>
      <c r="W16" s="105">
        <f>_xlfn.XLOOKUP(Tabell7[[#This Row],[Dataset (.h5)]],Datasett[Datasett (.h5)],Datasett[total]," ")</f>
        <v>823</v>
      </c>
      <c r="X16" s="110">
        <f>IFERROR(_xlfn.XLOOKUP(Tabell7[[#This Row],[Dataset (.h5)]],Datasett[Datasett (.h5)],Datasett[Normale]," ")/Tabell7[[#This Row],[Number of samples]]," ")</f>
        <v>0</v>
      </c>
      <c r="Y16" s="110">
        <f>IFERROR(_xlfn.XLOOKUP(Tabell7[[#This Row],[Dataset (.h5)]],Datasett[Datasett (.h5)],Datasett[1 artrose/sklerose]," ")/Tabell7[[#This Row],[Number of samples]]," ")</f>
        <v>0.43620899149453218</v>
      </c>
      <c r="Z16" s="110">
        <f>IFERROR(_xlfn.XLOOKUP(Tabell7[[#This Row],[Dataset (.h5)]],Datasett[Datasett (.h5)],Datasett[2 artrose]," ")/Tabell7[[#This Row],[Number of samples]]," ")</f>
        <v>0.21142162818955043</v>
      </c>
      <c r="AA16" s="110">
        <f>IFERROR(_xlfn.XLOOKUP(Tabell7[[#This Row],[Dataset (.h5)]],Datasett[Datasett (.h5)],Datasett[2 MCD]," ")/Tabell7[[#This Row],[Number of samples]]," ")</f>
        <v>8.9914945321992706E-2</v>
      </c>
      <c r="AB16" s="110">
        <f>IFERROR(_xlfn.XLOOKUP(Tabell7[[#This Row],[Dataset (.h5)]],Datasett[Datasett (.h5)],Datasett[3 artrose]," ")/Tabell7[[#This Row],[Number of samples]]," ")</f>
        <v>9.2345078979343867E-2</v>
      </c>
      <c r="AC16" s="110">
        <f>IFERROR(_xlfn.XLOOKUP(Tabell7[[#This Row],[Dataset (.h5)]],Datasett[Datasett (.h5)],Datasett[3 MCD]," ")/Tabell7[[#This Row],[Number of samples]]," ")</f>
        <v>0.13973268529769137</v>
      </c>
      <c r="AD16" s="110">
        <f>IFERROR(_xlfn.XLOOKUP(Tabell7[[#This Row],[Dataset (.h5)]],Datasett[Datasett (.h5)],Datasett[3 OCD]," ")/Tabell7[[#This Row],[Number of samples]]," ")</f>
        <v>9.7205346294046164E-3</v>
      </c>
      <c r="AE16" s="110">
        <f>IFERROR(_xlfn.XLOOKUP(Tabell7[[#This Row],[Dataset (.h5)]],Datasett[Datasett (.h5)],Datasett[3 UAP]," ")/Tabell7[[#This Row],[Number of samples]]," ")</f>
        <v>2.0656136087484813E-2</v>
      </c>
    </row>
    <row r="17" spans="1:31" ht="45">
      <c r="A17" s="105">
        <v>11835824</v>
      </c>
      <c r="B17" s="106" t="s">
        <v>290</v>
      </c>
      <c r="C17" s="105"/>
      <c r="D17" s="105" t="s">
        <v>284</v>
      </c>
      <c r="E17" s="105" t="s">
        <v>286</v>
      </c>
      <c r="F17" s="105" t="str">
        <f>_xlfn.TEXTJOIN("_",TRUE,Tabell7[[#This Row],[Kompleksitet]],Tabell7[[#This Row],[Dataset (.h5)]],_xlfn.TEXTJOIN("",TRUE,"bs",Tabell7[[#This Row],[Partistørrelse]]),Tabell7[[#This Row],[Læringsrate]],IF(Tabell7[[#This Row],[Augmentering]]="ja","aug",""),IF(Tabell7[[#This Row],[Validering]]="ja","flip",""))</f>
        <v>B2_800_level_3_bs25_0.0001</v>
      </c>
      <c r="G17" s="105" t="s">
        <v>25</v>
      </c>
      <c r="H17" s="105">
        <v>1E-4</v>
      </c>
      <c r="I17" s="105" t="s">
        <v>208</v>
      </c>
      <c r="J17" s="105">
        <v>25</v>
      </c>
      <c r="K17" s="105" t="s">
        <v>208</v>
      </c>
      <c r="L17" s="105" t="s">
        <v>149</v>
      </c>
      <c r="M17" s="108">
        <v>3.3414351851851855E-2</v>
      </c>
      <c r="N17" s="105" t="s">
        <v>294</v>
      </c>
      <c r="O17" s="113">
        <v>0.75649213999999998</v>
      </c>
      <c r="P17" s="113">
        <v>0.72330099999999997</v>
      </c>
      <c r="Q17" s="113">
        <v>0.357002716367887</v>
      </c>
      <c r="R17" s="113">
        <v>0.58737864077669899</v>
      </c>
      <c r="S17" s="113">
        <v>0.71656759999999997</v>
      </c>
      <c r="T17" s="113">
        <v>0.71056914000000004</v>
      </c>
      <c r="U17" s="113">
        <v>0.31117904562687798</v>
      </c>
      <c r="V17" s="113">
        <v>0.55609756097560903</v>
      </c>
      <c r="W17" s="105">
        <f>_xlfn.XLOOKUP(Tabell7[[#This Row],[Dataset (.h5)]],Datasett[Datasett (.h5)],Datasett[total]," ")</f>
        <v>823</v>
      </c>
      <c r="X17" s="110">
        <f>IFERROR(_xlfn.XLOOKUP(Tabell7[[#This Row],[Dataset (.h5)]],Datasett[Datasett (.h5)],Datasett[Normale]," ")/Tabell7[[#This Row],[Number of samples]]," ")</f>
        <v>0</v>
      </c>
      <c r="Y17" s="110">
        <f>IFERROR(_xlfn.XLOOKUP(Tabell7[[#This Row],[Dataset (.h5)]],Datasett[Datasett (.h5)],Datasett[1 artrose/sklerose]," ")/Tabell7[[#This Row],[Number of samples]]," ")</f>
        <v>0.43620899149453218</v>
      </c>
      <c r="Z17" s="110">
        <f>IFERROR(_xlfn.XLOOKUP(Tabell7[[#This Row],[Dataset (.h5)]],Datasett[Datasett (.h5)],Datasett[2 artrose]," ")/Tabell7[[#This Row],[Number of samples]]," ")</f>
        <v>0.21142162818955043</v>
      </c>
      <c r="AA17" s="110">
        <f>IFERROR(_xlfn.XLOOKUP(Tabell7[[#This Row],[Dataset (.h5)]],Datasett[Datasett (.h5)],Datasett[2 MCD]," ")/Tabell7[[#This Row],[Number of samples]]," ")</f>
        <v>8.9914945321992706E-2</v>
      </c>
      <c r="AB17" s="110">
        <f>IFERROR(_xlfn.XLOOKUP(Tabell7[[#This Row],[Dataset (.h5)]],Datasett[Datasett (.h5)],Datasett[3 artrose]," ")/Tabell7[[#This Row],[Number of samples]]," ")</f>
        <v>9.2345078979343867E-2</v>
      </c>
      <c r="AC17" s="110">
        <f>IFERROR(_xlfn.XLOOKUP(Tabell7[[#This Row],[Dataset (.h5)]],Datasett[Datasett (.h5)],Datasett[3 MCD]," ")/Tabell7[[#This Row],[Number of samples]]," ")</f>
        <v>0.13973268529769137</v>
      </c>
      <c r="AD17" s="110">
        <f>IFERROR(_xlfn.XLOOKUP(Tabell7[[#This Row],[Dataset (.h5)]],Datasett[Datasett (.h5)],Datasett[3 OCD]," ")/Tabell7[[#This Row],[Number of samples]]," ")</f>
        <v>9.7205346294046164E-3</v>
      </c>
      <c r="AE17" s="110">
        <f>IFERROR(_xlfn.XLOOKUP(Tabell7[[#This Row],[Dataset (.h5)]],Datasett[Datasett (.h5)],Datasett[3 UAP]," ")/Tabell7[[#This Row],[Number of samples]]," ")</f>
        <v>2.0656136087484813E-2</v>
      </c>
    </row>
    <row r="18" spans="1:31" ht="45">
      <c r="A18" s="105">
        <v>11835804</v>
      </c>
      <c r="B18" s="106" t="s">
        <v>289</v>
      </c>
      <c r="C18" s="105"/>
      <c r="D18" s="105" t="s">
        <v>284</v>
      </c>
      <c r="E18" s="105" t="s">
        <v>286</v>
      </c>
      <c r="F18" s="105" t="str">
        <f>_xlfn.TEXTJOIN("_",TRUE,Tabell7[[#This Row],[Kompleksitet]],Tabell7[[#This Row],[Dataset (.h5)]],_xlfn.TEXTJOIN("",TRUE,"bs",Tabell7[[#This Row],[Partistørrelse]]),Tabell7[[#This Row],[Læringsrate]],IF(Tabell7[[#This Row],[Augmentering]]="ja","aug",""),IF(Tabell7[[#This Row],[Validering]]="ja","flip",""))</f>
        <v>B2_800_level_3_bs25_0.0005</v>
      </c>
      <c r="G18" s="105" t="s">
        <v>25</v>
      </c>
      <c r="H18" s="105">
        <v>5.0000000000000001E-4</v>
      </c>
      <c r="I18" s="105" t="s">
        <v>208</v>
      </c>
      <c r="J18" s="105">
        <v>25</v>
      </c>
      <c r="K18" s="105" t="s">
        <v>208</v>
      </c>
      <c r="L18" s="105" t="s">
        <v>149</v>
      </c>
      <c r="M18" s="108">
        <v>3.4074074074074076E-2</v>
      </c>
      <c r="N18" s="105" t="s">
        <v>291</v>
      </c>
      <c r="O18" s="113">
        <v>0.79811949999999998</v>
      </c>
      <c r="P18" s="113">
        <v>0.75728154000000003</v>
      </c>
      <c r="Q18" s="113">
        <v>0.435851309795389</v>
      </c>
      <c r="R18" s="113">
        <v>0.63592233009708699</v>
      </c>
      <c r="S18" s="113">
        <v>0.71427726999999996</v>
      </c>
      <c r="T18" s="113">
        <v>0.67479679999999997</v>
      </c>
      <c r="U18" s="113">
        <v>0.24695646737589899</v>
      </c>
      <c r="V18" s="113">
        <v>0.50731707317073105</v>
      </c>
      <c r="W18" s="105">
        <f>_xlfn.XLOOKUP(Tabell7[[#This Row],[Dataset (.h5)]],Datasett[Datasett (.h5)],Datasett[total]," ")</f>
        <v>823</v>
      </c>
      <c r="X18" s="110">
        <f>IFERROR(_xlfn.XLOOKUP(Tabell7[[#This Row],[Dataset (.h5)]],Datasett[Datasett (.h5)],Datasett[Normale]," ")/Tabell7[[#This Row],[Number of samples]]," ")</f>
        <v>0</v>
      </c>
      <c r="Y18" s="110">
        <f>IFERROR(_xlfn.XLOOKUP(Tabell7[[#This Row],[Dataset (.h5)]],Datasett[Datasett (.h5)],Datasett[1 artrose/sklerose]," ")/Tabell7[[#This Row],[Number of samples]]," ")</f>
        <v>0.43620899149453218</v>
      </c>
      <c r="Z18" s="110">
        <f>IFERROR(_xlfn.XLOOKUP(Tabell7[[#This Row],[Dataset (.h5)]],Datasett[Datasett (.h5)],Datasett[2 artrose]," ")/Tabell7[[#This Row],[Number of samples]]," ")</f>
        <v>0.21142162818955043</v>
      </c>
      <c r="AA18" s="110">
        <f>IFERROR(_xlfn.XLOOKUP(Tabell7[[#This Row],[Dataset (.h5)]],Datasett[Datasett (.h5)],Datasett[2 MCD]," ")/Tabell7[[#This Row],[Number of samples]]," ")</f>
        <v>8.9914945321992706E-2</v>
      </c>
      <c r="AB18" s="110">
        <f>IFERROR(_xlfn.XLOOKUP(Tabell7[[#This Row],[Dataset (.h5)]],Datasett[Datasett (.h5)],Datasett[3 artrose]," ")/Tabell7[[#This Row],[Number of samples]]," ")</f>
        <v>9.2345078979343867E-2</v>
      </c>
      <c r="AC18" s="110">
        <f>IFERROR(_xlfn.XLOOKUP(Tabell7[[#This Row],[Dataset (.h5)]],Datasett[Datasett (.h5)],Datasett[3 MCD]," ")/Tabell7[[#This Row],[Number of samples]]," ")</f>
        <v>0.13973268529769137</v>
      </c>
      <c r="AD18" s="110">
        <f>IFERROR(_xlfn.XLOOKUP(Tabell7[[#This Row],[Dataset (.h5)]],Datasett[Datasett (.h5)],Datasett[3 OCD]," ")/Tabell7[[#This Row],[Number of samples]]," ")</f>
        <v>9.7205346294046164E-3</v>
      </c>
      <c r="AE18" s="110">
        <f>IFERROR(_xlfn.XLOOKUP(Tabell7[[#This Row],[Dataset (.h5)]],Datasett[Datasett (.h5)],Datasett[3 UAP]," ")/Tabell7[[#This Row],[Number of samples]]," ")</f>
        <v>2.0656136087484813E-2</v>
      </c>
    </row>
    <row r="19" spans="1:31" ht="45">
      <c r="A19" s="105">
        <v>11875416</v>
      </c>
      <c r="B19" s="106" t="s">
        <v>326</v>
      </c>
      <c r="C19" s="105"/>
      <c r="D19" s="105" t="s">
        <v>284</v>
      </c>
      <c r="E19" s="105" t="s">
        <v>286</v>
      </c>
      <c r="F19" s="105" t="str">
        <f>_xlfn.TEXTJOIN("_",TRUE,Tabell7[[#This Row],[Kompleksitet]],Tabell7[[#This Row],[Dataset (.h5)]],_xlfn.TEXTJOIN("",TRUE,"bs",Tabell7[[#This Row],[Partistørrelse]]),Tabell7[[#This Row],[Læringsrate]],IF(Tabell7[[#This Row],[Augmentering]]="ja","aug",""),IF(Tabell7[[#This Row],[Validering]]="ja","flip",""))</f>
        <v>B3_800_level_3_bs16_0.001_aug_flip</v>
      </c>
      <c r="G19" s="105" t="s">
        <v>30</v>
      </c>
      <c r="H19" s="105">
        <v>1E-3</v>
      </c>
      <c r="I19" s="105" t="s">
        <v>209</v>
      </c>
      <c r="J19" s="105">
        <v>16</v>
      </c>
      <c r="K19" s="105" t="s">
        <v>209</v>
      </c>
      <c r="L19" s="105" t="s">
        <v>149</v>
      </c>
      <c r="M19" s="108">
        <v>5.0706018518518518E-2</v>
      </c>
      <c r="N19" s="105" t="s">
        <v>27</v>
      </c>
      <c r="O19" s="113">
        <v>0.77658534000000001</v>
      </c>
      <c r="P19" s="113">
        <v>0.72357726</v>
      </c>
      <c r="Q19" s="113">
        <v>0.37210790415349698</v>
      </c>
      <c r="R19" s="113">
        <v>0.58048780487804796</v>
      </c>
      <c r="S19" s="113">
        <v>0.71842307000000005</v>
      </c>
      <c r="T19" s="113">
        <v>0.67152107000000005</v>
      </c>
      <c r="U19" s="113">
        <v>0.24607462756868301</v>
      </c>
      <c r="V19" s="113">
        <v>0.5</v>
      </c>
      <c r="W19" s="105">
        <f>_xlfn.XLOOKUP(Tabell7[[#This Row],[Dataset (.h5)]],Datasett[Datasett (.h5)],Datasett[total]," ")</f>
        <v>823</v>
      </c>
      <c r="X19" s="110">
        <f>IFERROR(_xlfn.XLOOKUP(Tabell7[[#This Row],[Dataset (.h5)]],Datasett[Datasett (.h5)],Datasett[Normale]," ")/Tabell7[[#This Row],[Number of samples]]," ")</f>
        <v>0</v>
      </c>
      <c r="Y19" s="110">
        <f>IFERROR(_xlfn.XLOOKUP(Tabell7[[#This Row],[Dataset (.h5)]],Datasett[Datasett (.h5)],Datasett[1 artrose/sklerose]," ")/Tabell7[[#This Row],[Number of samples]]," ")</f>
        <v>0.43620899149453218</v>
      </c>
      <c r="Z19" s="110">
        <f>IFERROR(_xlfn.XLOOKUP(Tabell7[[#This Row],[Dataset (.h5)]],Datasett[Datasett (.h5)],Datasett[2 artrose]," ")/Tabell7[[#This Row],[Number of samples]]," ")</f>
        <v>0.21142162818955043</v>
      </c>
      <c r="AA19" s="110">
        <f>IFERROR(_xlfn.XLOOKUP(Tabell7[[#This Row],[Dataset (.h5)]],Datasett[Datasett (.h5)],Datasett[2 MCD]," ")/Tabell7[[#This Row],[Number of samples]]," ")</f>
        <v>8.9914945321992706E-2</v>
      </c>
      <c r="AB19" s="110">
        <f>IFERROR(_xlfn.XLOOKUP(Tabell7[[#This Row],[Dataset (.h5)]],Datasett[Datasett (.h5)],Datasett[3 artrose]," ")/Tabell7[[#This Row],[Number of samples]]," ")</f>
        <v>9.2345078979343867E-2</v>
      </c>
      <c r="AC19" s="110">
        <f>IFERROR(_xlfn.XLOOKUP(Tabell7[[#This Row],[Dataset (.h5)]],Datasett[Datasett (.h5)],Datasett[3 MCD]," ")/Tabell7[[#This Row],[Number of samples]]," ")</f>
        <v>0.13973268529769137</v>
      </c>
      <c r="AD19" s="110">
        <f>IFERROR(_xlfn.XLOOKUP(Tabell7[[#This Row],[Dataset (.h5)]],Datasett[Datasett (.h5)],Datasett[3 OCD]," ")/Tabell7[[#This Row],[Number of samples]]," ")</f>
        <v>9.7205346294046164E-3</v>
      </c>
      <c r="AE19" s="110">
        <f>IFERROR(_xlfn.XLOOKUP(Tabell7[[#This Row],[Dataset (.h5)]],Datasett[Datasett (.h5)],Datasett[3 UAP]," ")/Tabell7[[#This Row],[Number of samples]]," ")</f>
        <v>2.0656136087484813E-2</v>
      </c>
    </row>
    <row r="20" spans="1:31" ht="45">
      <c r="A20" s="105">
        <v>11875692</v>
      </c>
      <c r="B20" s="106" t="s">
        <v>327</v>
      </c>
      <c r="C20" s="105"/>
      <c r="D20" s="105" t="s">
        <v>284</v>
      </c>
      <c r="E20" s="105" t="s">
        <v>286</v>
      </c>
      <c r="F20" s="105" t="str">
        <f>_xlfn.TEXTJOIN("_",TRUE,Tabell7[[#This Row],[Kompleksitet]],Tabell7[[#This Row],[Dataset (.h5)]],_xlfn.TEXTJOIN("",TRUE,"bs",Tabell7[[#This Row],[Partistørrelse]]),Tabell7[[#This Row],[Læringsrate]],IF(Tabell7[[#This Row],[Augmentering]]="ja","aug",""),IF(Tabell7[[#This Row],[Validering]]="ja","flip",""))</f>
        <v>B3_800_level_3_bs16_0.005_aug</v>
      </c>
      <c r="G20" s="105" t="s">
        <v>30</v>
      </c>
      <c r="H20" s="105">
        <v>5.0000000000000001E-3</v>
      </c>
      <c r="I20" s="105" t="s">
        <v>209</v>
      </c>
      <c r="J20" s="105">
        <v>16</v>
      </c>
      <c r="K20" s="105" t="s">
        <v>208</v>
      </c>
      <c r="L20" s="105" t="s">
        <v>149</v>
      </c>
      <c r="M20" s="108">
        <v>4.9756944444444444E-2</v>
      </c>
      <c r="N20" s="105" t="s">
        <v>334</v>
      </c>
      <c r="O20" s="113">
        <v>0.6092881</v>
      </c>
      <c r="P20" s="113">
        <v>0.66181237000000004</v>
      </c>
      <c r="Q20" s="113">
        <v>0.124110164906142</v>
      </c>
      <c r="R20" s="113">
        <v>0.45631067961165001</v>
      </c>
      <c r="S20" s="113">
        <v>0.58298629999999996</v>
      </c>
      <c r="T20" s="113">
        <v>0.63577240000000002</v>
      </c>
      <c r="U20" s="113">
        <v>7.4312837652716401E-2</v>
      </c>
      <c r="V20" s="113">
        <v>0.42439024390243901</v>
      </c>
      <c r="W20" s="105">
        <f>_xlfn.XLOOKUP(Tabell7[[#This Row],[Dataset (.h5)]],Datasett[Datasett (.h5)],Datasett[total]," ")</f>
        <v>823</v>
      </c>
      <c r="X20" s="110">
        <f>IFERROR(_xlfn.XLOOKUP(Tabell7[[#This Row],[Dataset (.h5)]],Datasett[Datasett (.h5)],Datasett[Normale]," ")/Tabell7[[#This Row],[Number of samples]]," ")</f>
        <v>0</v>
      </c>
      <c r="Y20" s="110">
        <f>IFERROR(_xlfn.XLOOKUP(Tabell7[[#This Row],[Dataset (.h5)]],Datasett[Datasett (.h5)],Datasett[1 artrose/sklerose]," ")/Tabell7[[#This Row],[Number of samples]]," ")</f>
        <v>0.43620899149453218</v>
      </c>
      <c r="Z20" s="110">
        <f>IFERROR(_xlfn.XLOOKUP(Tabell7[[#This Row],[Dataset (.h5)]],Datasett[Datasett (.h5)],Datasett[2 artrose]," ")/Tabell7[[#This Row],[Number of samples]]," ")</f>
        <v>0.21142162818955043</v>
      </c>
      <c r="AA20" s="110">
        <f>IFERROR(_xlfn.XLOOKUP(Tabell7[[#This Row],[Dataset (.h5)]],Datasett[Datasett (.h5)],Datasett[2 MCD]," ")/Tabell7[[#This Row],[Number of samples]]," ")</f>
        <v>8.9914945321992706E-2</v>
      </c>
      <c r="AB20" s="110">
        <f>IFERROR(_xlfn.XLOOKUP(Tabell7[[#This Row],[Dataset (.h5)]],Datasett[Datasett (.h5)],Datasett[3 artrose]," ")/Tabell7[[#This Row],[Number of samples]]," ")</f>
        <v>9.2345078979343867E-2</v>
      </c>
      <c r="AC20" s="110">
        <f>IFERROR(_xlfn.XLOOKUP(Tabell7[[#This Row],[Dataset (.h5)]],Datasett[Datasett (.h5)],Datasett[3 MCD]," ")/Tabell7[[#This Row],[Number of samples]]," ")</f>
        <v>0.13973268529769137</v>
      </c>
      <c r="AD20" s="110">
        <f>IFERROR(_xlfn.XLOOKUP(Tabell7[[#This Row],[Dataset (.h5)]],Datasett[Datasett (.h5)],Datasett[3 OCD]," ")/Tabell7[[#This Row],[Number of samples]]," ")</f>
        <v>9.7205346294046164E-3</v>
      </c>
      <c r="AE20" s="110">
        <f>IFERROR(_xlfn.XLOOKUP(Tabell7[[#This Row],[Dataset (.h5)]],Datasett[Datasett (.h5)],Datasett[3 UAP]," ")/Tabell7[[#This Row],[Number of samples]]," ")</f>
        <v>2.0656136087484813E-2</v>
      </c>
    </row>
  </sheetData>
  <phoneticPr fontId="2" type="noConversion"/>
  <conditionalFormatting sqref="B2:B20">
    <cfRule type="duplicateValues" dxfId="1" priority="46"/>
  </conditionalFormatting>
  <conditionalFormatting sqref="F2:F20">
    <cfRule type="duplicateValues" dxfId="0" priority="45"/>
  </conditionalFormatting>
  <conditionalFormatting sqref="O2:O20">
    <cfRule type="colorScale" priority="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:P20">
    <cfRule type="colorScale" priority="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:Q20">
    <cfRule type="colorScale" priority="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2:R20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3:S9 R2">
    <cfRule type="colorScale" priority="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:S2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3:S9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:T20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3:T9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2:U20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3:U9 T2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2:V20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3:V9 U2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:Q20">
    <cfRule type="colorScale" priority="2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">
    <cfRule type="colorScale" priority="2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3:V9 T2:U2">
    <cfRule type="colorScale" priority="2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dataValidations count="5">
    <dataValidation type="list" allowBlank="1" showInputMessage="1" showErrorMessage="1" sqref="L2:L20" xr:uid="{9703D7DD-EACE-E34B-98E9-7AFF730B4518}">
      <formula1>"pretrain,scratch"</formula1>
    </dataValidation>
    <dataValidation type="list" allowBlank="1" showInputMessage="1" showErrorMessage="1" sqref="K2:K20 I2:I20" xr:uid="{F314BCAA-57AD-F846-9B7F-978ABF726603}">
      <formula1>"Ja,Nei"</formula1>
    </dataValidation>
    <dataValidation type="list" allowBlank="1" showInputMessage="1" showErrorMessage="1" sqref="H2:H20" xr:uid="{5D43BE22-8845-EC40-AD42-2354F953F701}">
      <formula1>"0.00005,0.0001,0.0005,0.001,0.005"</formula1>
    </dataValidation>
    <dataValidation type="list" allowBlank="1" showInputMessage="1" showErrorMessage="1" sqref="G2:G20" xr:uid="{2FD13438-9B3F-6F44-97FF-58F3C96C0143}">
      <formula1>"B0,B1,B2,B3,B4"</formula1>
    </dataValidation>
    <dataValidation type="list" allowBlank="1" showInputMessage="1" showErrorMessage="1" sqref="E2:E20" xr:uid="{B3246E80-F4DA-354B-93C1-356857B0E450}">
      <formula1>"Level,Diagnosis,Complete"</formula1>
    </dataValidation>
  </dataValidations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DE0981E-B0D9-6E4D-AED4-3759774604B0}">
          <x14:formula1>
            <xm:f>Datasets!$A$2:$A$6</xm:f>
          </x14:formula1>
          <xm:sqref>D1</xm:sqref>
        </x14:dataValidation>
        <x14:dataValidation type="list" allowBlank="1" showInputMessage="1" showErrorMessage="1" xr:uid="{98925E26-80D4-4349-93AB-6120FB331777}">
          <x14:formula1>
            <xm:f>Datasets!$A$2:$A$15</xm:f>
          </x14:formula1>
          <xm:sqref>D2:D20</xm:sqref>
        </x14:dataValidation>
      </x14:dataValidations>
    </ex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6DD0C-BFD2-4A89-83E5-A2B06332EE1F}">
  <dimension ref="A1:W28"/>
  <sheetViews>
    <sheetView tabSelected="1" zoomScale="90" zoomScaleNormal="160" workbookViewId="0">
      <selection activeCell="F20" sqref="F20"/>
    </sheetView>
  </sheetViews>
  <sheetFormatPr baseColWidth="10" defaultColWidth="9.1640625" defaultRowHeight="15"/>
  <cols>
    <col min="1" max="1" width="35.83203125" bestFit="1" customWidth="1"/>
    <col min="2" max="2" width="11.5" customWidth="1"/>
    <col min="3" max="3" width="18" customWidth="1"/>
    <col min="4" max="4" width="15.5" bestFit="1" customWidth="1"/>
    <col min="5" max="5" width="12.1640625" customWidth="1"/>
    <col min="6" max="6" width="12.5" bestFit="1" customWidth="1"/>
    <col min="7" max="7" width="12.1640625" customWidth="1"/>
    <col min="8" max="8" width="9.83203125" customWidth="1"/>
    <col min="9" max="9" width="10.33203125" customWidth="1"/>
    <col min="11" max="11" width="14.6640625" bestFit="1" customWidth="1"/>
    <col min="12" max="12" width="13.5" bestFit="1" customWidth="1"/>
    <col min="13" max="13" width="13.83203125" bestFit="1" customWidth="1"/>
    <col min="14" max="14" width="13.5" bestFit="1" customWidth="1"/>
    <col min="16" max="16" width="47.33203125" bestFit="1" customWidth="1"/>
    <col min="17" max="18" width="43.83203125" bestFit="1" customWidth="1"/>
    <col min="19" max="19" width="47.33203125" bestFit="1" customWidth="1"/>
    <col min="20" max="21" width="43.83203125" bestFit="1" customWidth="1"/>
    <col min="22" max="23" width="48.83203125" bestFit="1" customWidth="1"/>
  </cols>
  <sheetData>
    <row r="1" spans="1:23">
      <c r="A1" t="s">
        <v>73</v>
      </c>
      <c r="B1" t="s">
        <v>13</v>
      </c>
      <c r="C1" t="s">
        <v>218</v>
      </c>
      <c r="D1" t="s">
        <v>16</v>
      </c>
      <c r="E1" t="s">
        <v>215</v>
      </c>
      <c r="F1" t="s">
        <v>18</v>
      </c>
      <c r="G1" t="s">
        <v>19</v>
      </c>
      <c r="H1" t="s">
        <v>20</v>
      </c>
      <c r="I1" t="s">
        <v>21</v>
      </c>
      <c r="J1" t="s">
        <v>74</v>
      </c>
      <c r="K1" t="s">
        <v>75</v>
      </c>
      <c r="O1" s="119" t="s">
        <v>406</v>
      </c>
      <c r="P1" t="s">
        <v>367</v>
      </c>
      <c r="Q1" s="109" t="s">
        <v>338</v>
      </c>
      <c r="R1" s="109" t="s">
        <v>337</v>
      </c>
      <c r="S1" s="109" t="s">
        <v>303</v>
      </c>
      <c r="T1" s="109" t="s">
        <v>284</v>
      </c>
      <c r="U1" t="s">
        <v>220</v>
      </c>
      <c r="V1" t="s">
        <v>244</v>
      </c>
      <c r="W1" t="s">
        <v>247</v>
      </c>
    </row>
    <row r="2" spans="1:23">
      <c r="A2" t="s">
        <v>219</v>
      </c>
      <c r="B2">
        <v>266</v>
      </c>
      <c r="C2">
        <v>256</v>
      </c>
      <c r="D2">
        <v>131</v>
      </c>
      <c r="E2">
        <v>55</v>
      </c>
      <c r="F2">
        <v>48</v>
      </c>
      <c r="G2">
        <v>92</v>
      </c>
      <c r="H2">
        <v>5</v>
      </c>
      <c r="I2">
        <v>9</v>
      </c>
      <c r="J2">
        <f>SUM(Datasett[[#This Row],[Normale]:[3 UAP]])</f>
        <v>862</v>
      </c>
      <c r="K2">
        <v>800</v>
      </c>
      <c r="L2" s="112"/>
      <c r="M2" s="112"/>
      <c r="N2" s="112"/>
      <c r="O2" s="119"/>
      <c r="P2" t="s">
        <v>368</v>
      </c>
      <c r="Q2" t="s">
        <v>356</v>
      </c>
      <c r="R2" t="s">
        <v>335</v>
      </c>
      <c r="S2" t="s">
        <v>307</v>
      </c>
      <c r="T2" t="s">
        <v>287</v>
      </c>
      <c r="U2" t="s">
        <v>263</v>
      </c>
      <c r="V2" t="s">
        <v>259</v>
      </c>
      <c r="W2" t="s">
        <v>254</v>
      </c>
    </row>
    <row r="3" spans="1:23">
      <c r="A3" t="s">
        <v>220</v>
      </c>
      <c r="B3">
        <v>500</v>
      </c>
      <c r="C3">
        <v>257</v>
      </c>
      <c r="D3">
        <v>124</v>
      </c>
      <c r="E3">
        <v>53</v>
      </c>
      <c r="F3">
        <v>54</v>
      </c>
      <c r="G3">
        <v>82</v>
      </c>
      <c r="H3">
        <v>8</v>
      </c>
      <c r="I3">
        <v>12</v>
      </c>
      <c r="J3">
        <f>SUM(Datasett[[#This Row],[Normale]:[3 UAP]])</f>
        <v>1090</v>
      </c>
      <c r="K3">
        <v>800</v>
      </c>
      <c r="L3" s="112"/>
      <c r="M3" s="112"/>
      <c r="N3" s="112"/>
      <c r="O3" s="119"/>
      <c r="P3" t="s">
        <v>369</v>
      </c>
      <c r="Q3" t="s">
        <v>357</v>
      </c>
      <c r="R3" t="s">
        <v>336</v>
      </c>
      <c r="S3" t="s">
        <v>308</v>
      </c>
      <c r="T3" t="s">
        <v>288</v>
      </c>
      <c r="U3" t="s">
        <v>264</v>
      </c>
      <c r="V3" t="s">
        <v>260</v>
      </c>
      <c r="W3" t="s">
        <v>280</v>
      </c>
    </row>
    <row r="4" spans="1:23">
      <c r="A4" t="s">
        <v>244</v>
      </c>
      <c r="B4">
        <v>500</v>
      </c>
      <c r="C4">
        <v>257</v>
      </c>
      <c r="D4">
        <v>124</v>
      </c>
      <c r="E4">
        <v>53</v>
      </c>
      <c r="F4">
        <v>54</v>
      </c>
      <c r="G4">
        <v>82</v>
      </c>
      <c r="H4">
        <v>8</v>
      </c>
      <c r="I4">
        <v>12</v>
      </c>
      <c r="J4">
        <f>SUM(Datasett[[#This Row],[Normale]:[3 UAP]])</f>
        <v>1090</v>
      </c>
      <c r="K4">
        <v>1280</v>
      </c>
      <c r="L4" s="112"/>
      <c r="M4" s="112"/>
      <c r="N4" s="112"/>
      <c r="O4" s="119"/>
      <c r="Q4" t="s">
        <v>358</v>
      </c>
      <c r="R4" t="s">
        <v>343</v>
      </c>
      <c r="S4" t="s">
        <v>333</v>
      </c>
      <c r="T4" t="s">
        <v>313</v>
      </c>
      <c r="U4" t="s">
        <v>265</v>
      </c>
      <c r="V4" t="s">
        <v>261</v>
      </c>
      <c r="W4" t="s">
        <v>255</v>
      </c>
    </row>
    <row r="5" spans="1:23">
      <c r="A5" t="s">
        <v>247</v>
      </c>
      <c r="B5">
        <v>500</v>
      </c>
      <c r="C5">
        <v>257</v>
      </c>
      <c r="D5">
        <v>124</v>
      </c>
      <c r="E5">
        <v>53</v>
      </c>
      <c r="F5">
        <v>54</v>
      </c>
      <c r="G5">
        <v>82</v>
      </c>
      <c r="H5">
        <v>8</v>
      </c>
      <c r="I5">
        <v>12</v>
      </c>
      <c r="J5">
        <f>SUM(Datasett[[#This Row],[Normale]:[3 UAP]])</f>
        <v>1090</v>
      </c>
      <c r="K5">
        <v>640</v>
      </c>
      <c r="L5" s="112"/>
      <c r="M5" s="112"/>
      <c r="N5" s="112"/>
      <c r="O5" s="119"/>
      <c r="Q5" t="s">
        <v>359</v>
      </c>
      <c r="R5" t="s">
        <v>343</v>
      </c>
      <c r="T5" t="s">
        <v>296</v>
      </c>
      <c r="U5" t="s">
        <v>266</v>
      </c>
      <c r="V5" t="s">
        <v>262</v>
      </c>
      <c r="W5" t="s">
        <v>256</v>
      </c>
    </row>
    <row r="6" spans="1:23">
      <c r="A6" t="s">
        <v>284</v>
      </c>
      <c r="B6">
        <v>0</v>
      </c>
      <c r="C6">
        <v>359</v>
      </c>
      <c r="D6">
        <v>174</v>
      </c>
      <c r="E6">
        <v>74</v>
      </c>
      <c r="F6">
        <v>76</v>
      </c>
      <c r="G6">
        <v>115</v>
      </c>
      <c r="H6">
        <v>8</v>
      </c>
      <c r="I6">
        <v>17</v>
      </c>
      <c r="J6">
        <f>SUM(Datasett[[#This Row],[Normale]:[3 UAP]])</f>
        <v>823</v>
      </c>
      <c r="K6">
        <v>800</v>
      </c>
      <c r="L6" s="112"/>
      <c r="M6" s="112"/>
      <c r="N6" s="112"/>
      <c r="O6" s="119"/>
      <c r="Q6" t="s">
        <v>360</v>
      </c>
      <c r="R6" t="s">
        <v>346</v>
      </c>
      <c r="T6" t="s">
        <v>309</v>
      </c>
      <c r="U6" t="s">
        <v>267</v>
      </c>
      <c r="V6" t="s">
        <v>283</v>
      </c>
      <c r="W6" t="s">
        <v>257</v>
      </c>
    </row>
    <row r="7" spans="1:23">
      <c r="A7" t="s">
        <v>303</v>
      </c>
      <c r="B7">
        <v>0</v>
      </c>
      <c r="C7">
        <v>359</v>
      </c>
      <c r="D7">
        <v>174</v>
      </c>
      <c r="E7">
        <v>74</v>
      </c>
      <c r="F7">
        <v>76</v>
      </c>
      <c r="G7">
        <v>115</v>
      </c>
      <c r="H7">
        <v>8</v>
      </c>
      <c r="I7">
        <v>17</v>
      </c>
      <c r="J7">
        <f>SUM(Datasett[[#This Row],[Normale]:[3 UAP]])</f>
        <v>823</v>
      </c>
      <c r="K7">
        <v>800</v>
      </c>
      <c r="L7" s="112"/>
      <c r="M7" s="112"/>
      <c r="N7" s="112"/>
      <c r="O7" s="119"/>
      <c r="Q7" t="s">
        <v>361</v>
      </c>
      <c r="R7" t="s">
        <v>347</v>
      </c>
      <c r="T7" t="s">
        <v>322</v>
      </c>
      <c r="U7" t="s">
        <v>268</v>
      </c>
      <c r="W7" t="s">
        <v>258</v>
      </c>
    </row>
    <row r="8" spans="1:23">
      <c r="A8" t="s">
        <v>329</v>
      </c>
      <c r="B8">
        <v>601</v>
      </c>
      <c r="C8">
        <v>770</v>
      </c>
      <c r="D8">
        <v>371</v>
      </c>
      <c r="E8">
        <v>159</v>
      </c>
      <c r="F8">
        <v>162</v>
      </c>
      <c r="G8">
        <v>248</v>
      </c>
      <c r="H8">
        <v>8</v>
      </c>
      <c r="I8">
        <v>36</v>
      </c>
      <c r="J8">
        <f>SUM(Datasett[[#This Row],[Normale]:[3 UAP]])</f>
        <v>2355</v>
      </c>
      <c r="K8">
        <v>800</v>
      </c>
      <c r="L8" s="112"/>
      <c r="M8" s="112"/>
      <c r="N8" s="112"/>
      <c r="O8" s="119"/>
      <c r="Q8" t="s">
        <v>351</v>
      </c>
      <c r="R8" t="s">
        <v>348</v>
      </c>
      <c r="T8" t="s">
        <v>314</v>
      </c>
      <c r="U8" t="s">
        <v>269</v>
      </c>
    </row>
    <row r="9" spans="1:23">
      <c r="A9" t="s">
        <v>337</v>
      </c>
      <c r="B9">
        <v>0</v>
      </c>
      <c r="C9">
        <v>205</v>
      </c>
      <c r="D9">
        <v>99</v>
      </c>
      <c r="E9">
        <v>127</v>
      </c>
      <c r="F9">
        <v>43</v>
      </c>
      <c r="G9">
        <v>198</v>
      </c>
      <c r="H9">
        <v>8</v>
      </c>
      <c r="I9">
        <v>29</v>
      </c>
      <c r="J9">
        <f>SUM(Datasett[[#This Row],[Normale]:[3 UAP]])</f>
        <v>709</v>
      </c>
      <c r="K9">
        <v>800</v>
      </c>
      <c r="L9" s="112"/>
      <c r="M9" s="112"/>
      <c r="N9" s="112"/>
      <c r="O9" s="119"/>
      <c r="Q9" t="s">
        <v>352</v>
      </c>
      <c r="T9" t="s">
        <v>323</v>
      </c>
      <c r="U9" t="s">
        <v>270</v>
      </c>
    </row>
    <row r="10" spans="1:23">
      <c r="A10" t="s">
        <v>338</v>
      </c>
      <c r="B10">
        <v>0</v>
      </c>
      <c r="C10">
        <v>514</v>
      </c>
      <c r="D10">
        <v>248</v>
      </c>
      <c r="E10">
        <v>106</v>
      </c>
      <c r="F10">
        <v>108</v>
      </c>
      <c r="G10">
        <v>165</v>
      </c>
      <c r="H10">
        <v>8</v>
      </c>
      <c r="I10">
        <v>24</v>
      </c>
      <c r="J10">
        <f>SUM(Datasett[[#This Row],[Normale]:[3 UAP]])</f>
        <v>1173</v>
      </c>
      <c r="K10">
        <v>800</v>
      </c>
      <c r="L10" s="112"/>
      <c r="M10" s="112"/>
      <c r="N10" s="112"/>
      <c r="O10" s="119"/>
      <c r="T10" t="s">
        <v>324</v>
      </c>
      <c r="U10" t="s">
        <v>271</v>
      </c>
    </row>
    <row r="11" spans="1:23">
      <c r="A11" t="s">
        <v>367</v>
      </c>
      <c r="B11">
        <v>103</v>
      </c>
      <c r="C11">
        <v>159</v>
      </c>
      <c r="D11">
        <v>44</v>
      </c>
      <c r="E11">
        <v>48</v>
      </c>
      <c r="F11">
        <v>19</v>
      </c>
      <c r="G11">
        <v>33</v>
      </c>
      <c r="H11">
        <v>1</v>
      </c>
      <c r="I11">
        <v>3</v>
      </c>
      <c r="J11">
        <f>SUM(Datasett[[#This Row],[Normale]:[3 UAP]])</f>
        <v>410</v>
      </c>
      <c r="K11">
        <v>800</v>
      </c>
      <c r="L11" s="112"/>
      <c r="M11" s="112"/>
      <c r="N11" s="112"/>
      <c r="O11" s="119"/>
      <c r="T11" t="s">
        <v>315</v>
      </c>
      <c r="U11" t="s">
        <v>272</v>
      </c>
    </row>
    <row r="12" spans="1:23">
      <c r="A12" t="s">
        <v>370</v>
      </c>
      <c r="B12">
        <v>1773</v>
      </c>
      <c r="C12">
        <v>770</v>
      </c>
      <c r="D12">
        <v>371</v>
      </c>
      <c r="E12">
        <v>159</v>
      </c>
      <c r="F12">
        <v>162</v>
      </c>
      <c r="G12">
        <v>248</v>
      </c>
      <c r="H12">
        <v>8</v>
      </c>
      <c r="I12">
        <v>36</v>
      </c>
      <c r="J12">
        <f>SUM(Datasett[[#This Row],[Normale]:[3 UAP]])</f>
        <v>3527</v>
      </c>
      <c r="K12">
        <v>800</v>
      </c>
      <c r="L12" s="112"/>
      <c r="M12" s="112"/>
      <c r="N12" s="112"/>
      <c r="O12" s="119"/>
      <c r="T12" t="s">
        <v>295</v>
      </c>
      <c r="U12" t="s">
        <v>273</v>
      </c>
    </row>
    <row r="13" spans="1:23">
      <c r="A13" t="s">
        <v>375</v>
      </c>
      <c r="B13">
        <v>1714</v>
      </c>
      <c r="C13">
        <v>730</v>
      </c>
      <c r="D13">
        <v>363</v>
      </c>
      <c r="E13">
        <v>132</v>
      </c>
      <c r="F13">
        <v>161</v>
      </c>
      <c r="G13">
        <v>239</v>
      </c>
      <c r="H13">
        <v>8</v>
      </c>
      <c r="I13">
        <v>36</v>
      </c>
      <c r="J13">
        <f>SUM(Datasett[[#This Row],[Normale]:[3 UAP]])</f>
        <v>3383</v>
      </c>
      <c r="K13">
        <v>800</v>
      </c>
      <c r="L13" s="112"/>
      <c r="M13" s="112"/>
      <c r="N13" s="112"/>
      <c r="O13" s="119"/>
      <c r="T13" t="s">
        <v>310</v>
      </c>
      <c r="U13" t="s">
        <v>274</v>
      </c>
    </row>
    <row r="14" spans="1:23">
      <c r="A14" t="s">
        <v>377</v>
      </c>
      <c r="B14">
        <v>59</v>
      </c>
      <c r="C14">
        <v>40</v>
      </c>
      <c r="D14">
        <v>8</v>
      </c>
      <c r="E14">
        <v>27</v>
      </c>
      <c r="F14">
        <v>1</v>
      </c>
      <c r="G14">
        <v>9</v>
      </c>
      <c r="H14">
        <v>0</v>
      </c>
      <c r="I14">
        <v>0</v>
      </c>
      <c r="J14">
        <f>SUM(Datasett[[#This Row],[Normale]:[3 UAP]])</f>
        <v>144</v>
      </c>
      <c r="K14">
        <v>800</v>
      </c>
      <c r="L14" s="112"/>
      <c r="M14" s="112"/>
      <c r="N14" s="112"/>
      <c r="O14" s="119"/>
      <c r="T14" t="s">
        <v>316</v>
      </c>
      <c r="U14" t="s">
        <v>275</v>
      </c>
    </row>
    <row r="15" spans="1:23">
      <c r="A15" t="s">
        <v>402</v>
      </c>
      <c r="B15">
        <v>0</v>
      </c>
      <c r="C15">
        <v>418</v>
      </c>
      <c r="D15">
        <v>322</v>
      </c>
      <c r="E15">
        <v>138</v>
      </c>
      <c r="F15">
        <v>140</v>
      </c>
      <c r="G15">
        <v>215</v>
      </c>
      <c r="H15">
        <v>8</v>
      </c>
      <c r="I15">
        <v>31</v>
      </c>
      <c r="J15">
        <f>SUM(Datasett[[#This Row],[Normale]:[3 UAP]])</f>
        <v>1272</v>
      </c>
      <c r="K15">
        <v>800</v>
      </c>
      <c r="L15" s="112"/>
      <c r="M15" s="112"/>
      <c r="N15" s="112"/>
      <c r="O15" s="119"/>
      <c r="U15" t="s">
        <v>276</v>
      </c>
    </row>
    <row r="16" spans="1:23">
      <c r="O16" s="119"/>
      <c r="U16" t="s">
        <v>277</v>
      </c>
    </row>
    <row r="17" spans="1:21">
      <c r="O17" s="119"/>
      <c r="U17" t="s">
        <v>278</v>
      </c>
    </row>
    <row r="18" spans="1:21">
      <c r="O18" s="119"/>
      <c r="U18" t="s">
        <v>279</v>
      </c>
    </row>
    <row r="19" spans="1:21">
      <c r="A19" t="s">
        <v>221</v>
      </c>
      <c r="B19" t="s">
        <v>222</v>
      </c>
      <c r="C19" t="s">
        <v>223</v>
      </c>
      <c r="O19" s="119"/>
    </row>
    <row r="20" spans="1:21">
      <c r="A20" s="38">
        <v>0</v>
      </c>
      <c r="B20" s="38">
        <v>2273</v>
      </c>
      <c r="C20" s="38">
        <v>0</v>
      </c>
      <c r="O20" s="119"/>
    </row>
    <row r="21" spans="1:21">
      <c r="A21" s="38" t="s">
        <v>14</v>
      </c>
      <c r="B21" s="38">
        <v>1027</v>
      </c>
      <c r="C21" s="38">
        <v>1</v>
      </c>
      <c r="O21" s="119"/>
    </row>
    <row r="22" spans="1:21">
      <c r="A22" s="38" t="s">
        <v>16</v>
      </c>
      <c r="B22" s="38">
        <v>495</v>
      </c>
      <c r="C22" s="38">
        <v>2</v>
      </c>
    </row>
    <row r="23" spans="1:21">
      <c r="A23" s="38" t="s">
        <v>215</v>
      </c>
      <c r="B23" s="38">
        <v>212</v>
      </c>
      <c r="C23" s="38">
        <v>3</v>
      </c>
    </row>
    <row r="24" spans="1:21">
      <c r="A24" s="38" t="s">
        <v>18</v>
      </c>
      <c r="B24" s="38">
        <v>216</v>
      </c>
      <c r="C24" s="38">
        <v>4</v>
      </c>
    </row>
    <row r="25" spans="1:21">
      <c r="A25" s="38" t="s">
        <v>19</v>
      </c>
      <c r="B25" s="38">
        <v>330</v>
      </c>
      <c r="C25" s="38">
        <v>5</v>
      </c>
    </row>
    <row r="26" spans="1:21">
      <c r="A26" s="38" t="s">
        <v>20</v>
      </c>
      <c r="B26" s="38">
        <v>16</v>
      </c>
      <c r="C26" s="38">
        <v>6</v>
      </c>
    </row>
    <row r="27" spans="1:21">
      <c r="A27" s="38" t="s">
        <v>21</v>
      </c>
      <c r="B27" s="38">
        <v>48</v>
      </c>
      <c r="C27" s="38">
        <v>7</v>
      </c>
    </row>
    <row r="28" spans="1:21">
      <c r="A28" s="38" t="s">
        <v>69</v>
      </c>
      <c r="B28" s="38">
        <f>SUM(B20:B27)</f>
        <v>4617</v>
      </c>
      <c r="C28" s="38"/>
    </row>
  </sheetData>
  <mergeCells count="1">
    <mergeCell ref="O1:O21"/>
  </mergeCells>
  <phoneticPr fontId="2" type="noConversion"/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CA6D2-770B-D543-954E-6CE8574423DB}">
  <dimension ref="B38:B54"/>
  <sheetViews>
    <sheetView zoomScale="115" zoomScaleNormal="161" workbookViewId="0">
      <selection activeCell="D32" sqref="D32"/>
    </sheetView>
  </sheetViews>
  <sheetFormatPr baseColWidth="10" defaultColWidth="11.5" defaultRowHeight="15"/>
  <cols>
    <col min="3" max="3" width="38.5" customWidth="1"/>
    <col min="4" max="4" width="22.5" bestFit="1" customWidth="1"/>
    <col min="5" max="5" width="12.1640625" bestFit="1" customWidth="1"/>
    <col min="8" max="8" width="10.83203125" customWidth="1"/>
    <col min="10" max="10" width="18" customWidth="1"/>
    <col min="11" max="30" width="11.83203125" customWidth="1"/>
  </cols>
  <sheetData>
    <row r="38" spans="2:2">
      <c r="B38" s="56"/>
    </row>
    <row r="39" spans="2:2">
      <c r="B39" s="56"/>
    </row>
    <row r="40" spans="2:2">
      <c r="B40" s="56"/>
    </row>
    <row r="41" spans="2:2">
      <c r="B41" s="56"/>
    </row>
    <row r="42" spans="2:2">
      <c r="B42" s="56"/>
    </row>
    <row r="43" spans="2:2">
      <c r="B43" s="56"/>
    </row>
    <row r="44" spans="2:2">
      <c r="B44" s="56"/>
    </row>
    <row r="45" spans="2:2">
      <c r="B45" s="56"/>
    </row>
    <row r="46" spans="2:2">
      <c r="B46" s="56"/>
    </row>
    <row r="47" spans="2:2">
      <c r="B47" s="56"/>
    </row>
    <row r="48" spans="2:2">
      <c r="B48" s="56"/>
    </row>
    <row r="49" spans="2:2">
      <c r="B49" s="56"/>
    </row>
    <row r="50" spans="2:2">
      <c r="B50" s="56"/>
    </row>
    <row r="51" spans="2:2">
      <c r="B51" s="56"/>
    </row>
    <row r="52" spans="2:2">
      <c r="B52" s="56"/>
    </row>
    <row r="53" spans="2:2">
      <c r="B53" s="56"/>
    </row>
    <row r="54" spans="2:2">
      <c r="B54" s="5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94361-7730-4196-BB10-5865EF369D40}">
  <dimension ref="B2:AL105"/>
  <sheetViews>
    <sheetView topLeftCell="A79" zoomScale="50" zoomScaleNormal="50" workbookViewId="0">
      <selection activeCell="C1" sqref="C1"/>
    </sheetView>
  </sheetViews>
  <sheetFormatPr baseColWidth="10" defaultColWidth="8.83203125" defaultRowHeight="15" outlineLevelRow="1"/>
  <cols>
    <col min="2" max="2" width="15.6640625" customWidth="1"/>
    <col min="3" max="3" width="55" bestFit="1" customWidth="1"/>
    <col min="4" max="4" width="26.1640625" bestFit="1" customWidth="1"/>
    <col min="5" max="5" width="37.33203125" bestFit="1" customWidth="1"/>
    <col min="6" max="6" width="37.5" bestFit="1" customWidth="1"/>
    <col min="7" max="7" width="14.5" bestFit="1" customWidth="1"/>
    <col min="8" max="9" width="19.6640625" bestFit="1" customWidth="1"/>
    <col min="10" max="10" width="16" customWidth="1"/>
    <col min="11" max="11" width="20.83203125" bestFit="1" customWidth="1"/>
    <col min="12" max="12" width="10.5" bestFit="1" customWidth="1"/>
    <col min="13" max="13" width="10.83203125" bestFit="1" customWidth="1"/>
    <col min="14" max="14" width="18.83203125" customWidth="1"/>
    <col min="15" max="15" width="11" bestFit="1" customWidth="1"/>
    <col min="16" max="16" width="12.33203125" bestFit="1" customWidth="1"/>
    <col min="17" max="17" width="11.6640625" bestFit="1" customWidth="1"/>
    <col min="18" max="18" width="14.83203125" bestFit="1" customWidth="1"/>
    <col min="19" max="19" width="11.83203125" bestFit="1" customWidth="1"/>
    <col min="20" max="20" width="13.5" bestFit="1" customWidth="1"/>
    <col min="21" max="21" width="14.83203125" bestFit="1" customWidth="1"/>
    <col min="22" max="22" width="10" bestFit="1" customWidth="1"/>
    <col min="23" max="23" width="12.5" bestFit="1" customWidth="1"/>
    <col min="24" max="24" width="15.83203125" bestFit="1" customWidth="1"/>
    <col min="25" max="25" width="10.1640625" bestFit="1" customWidth="1"/>
    <col min="26" max="26" width="9.83203125" customWidth="1"/>
    <col min="27" max="27" width="6" customWidth="1"/>
    <col min="28" max="28" width="8.1640625" bestFit="1" customWidth="1"/>
    <col min="29" max="29" width="8.33203125" bestFit="1" customWidth="1"/>
    <col min="30" max="30" width="7.6640625" bestFit="1" customWidth="1"/>
    <col min="32" max="32" width="14.1640625" customWidth="1"/>
    <col min="35" max="35" width="17.5" bestFit="1" customWidth="1"/>
    <col min="36" max="36" width="16.33203125" bestFit="1" customWidth="1"/>
  </cols>
  <sheetData>
    <row r="2" spans="2:38">
      <c r="B2" t="s">
        <v>0</v>
      </c>
      <c r="F2" s="122" t="s">
        <v>1</v>
      </c>
      <c r="G2" s="122"/>
      <c r="H2" s="122"/>
      <c r="I2" s="122"/>
      <c r="Z2" s="41" t="s">
        <v>2</v>
      </c>
      <c r="AA2" s="41"/>
      <c r="AB2" s="41"/>
      <c r="AC2" s="41"/>
      <c r="AD2" s="41"/>
      <c r="AE2" s="41"/>
      <c r="AF2" s="41"/>
      <c r="AG2" s="41"/>
      <c r="AH2" s="41"/>
    </row>
    <row r="3" spans="2:38" s="24" customFormat="1" ht="32">
      <c r="B3" s="17" t="s">
        <v>95</v>
      </c>
      <c r="C3" s="17" t="s">
        <v>85</v>
      </c>
      <c r="D3" s="17" t="s">
        <v>4</v>
      </c>
      <c r="E3" s="17" t="s">
        <v>5</v>
      </c>
      <c r="F3" s="17" t="s">
        <v>186</v>
      </c>
      <c r="G3" s="17" t="s">
        <v>6</v>
      </c>
      <c r="H3" s="17" t="s">
        <v>7</v>
      </c>
      <c r="I3" s="17" t="s">
        <v>8</v>
      </c>
      <c r="J3" s="17" t="s">
        <v>9</v>
      </c>
      <c r="K3" s="17" t="s">
        <v>129</v>
      </c>
      <c r="L3" s="17" t="s">
        <v>86</v>
      </c>
      <c r="M3" s="17" t="s">
        <v>10</v>
      </c>
      <c r="N3" s="44" t="s">
        <v>122</v>
      </c>
      <c r="O3" s="44" t="s">
        <v>117</v>
      </c>
      <c r="P3" s="44" t="s">
        <v>118</v>
      </c>
      <c r="Q3" s="44" t="s">
        <v>119</v>
      </c>
      <c r="R3" s="44" t="s">
        <v>126</v>
      </c>
      <c r="S3" s="44" t="s">
        <v>127</v>
      </c>
      <c r="T3" s="17" t="s">
        <v>123</v>
      </c>
      <c r="U3" s="17" t="s">
        <v>11</v>
      </c>
      <c r="V3" s="17" t="s">
        <v>120</v>
      </c>
      <c r="W3" s="17" t="s">
        <v>121</v>
      </c>
      <c r="X3" s="17" t="s">
        <v>124</v>
      </c>
      <c r="Y3" s="17" t="s">
        <v>125</v>
      </c>
      <c r="Z3" s="17" t="s">
        <v>12</v>
      </c>
      <c r="AA3" s="17" t="s">
        <v>13</v>
      </c>
      <c r="AB3" s="2" t="s">
        <v>14</v>
      </c>
      <c r="AC3" s="2" t="s">
        <v>15</v>
      </c>
      <c r="AD3" s="2" t="s">
        <v>16</v>
      </c>
      <c r="AE3" s="2" t="s">
        <v>17</v>
      </c>
      <c r="AF3" s="2" t="s">
        <v>18</v>
      </c>
      <c r="AG3" s="2" t="s">
        <v>19</v>
      </c>
      <c r="AH3" s="2" t="s">
        <v>20</v>
      </c>
      <c r="AI3" s="2" t="s">
        <v>21</v>
      </c>
      <c r="AJ3" s="17" t="s">
        <v>22</v>
      </c>
      <c r="AK3" s="17"/>
      <c r="AL3" s="24" t="s">
        <v>188</v>
      </c>
    </row>
    <row r="4" spans="2:38" ht="48" outlineLevel="1">
      <c r="B4" s="17">
        <v>11677003</v>
      </c>
      <c r="C4" s="31"/>
      <c r="D4" s="17" t="s">
        <v>40</v>
      </c>
      <c r="E4" s="17" t="str">
        <f>_xlfn.TEXTJOIN("_",TRUE,ExpPlan[[#This Row],[Complexity]],ExpPlan[[#This Row],[Dataset (.h5)]],ExpPlan[[#This Row],[Learning rate]])</f>
        <v>B0_0_3_0.0001</v>
      </c>
      <c r="F4" s="17"/>
      <c r="G4" s="17">
        <f>_xlfn.XLOOKUP(ExpPlan[[#This Row],[Dataset (.h5)]],Andeler[Datasett (.h5)],Andeler[resize_shape]," ")</f>
        <v>640</v>
      </c>
      <c r="H4" s="17" t="s">
        <v>34</v>
      </c>
      <c r="I4" s="17">
        <v>1E-4</v>
      </c>
      <c r="J4" s="17" t="s">
        <v>26</v>
      </c>
      <c r="K4" s="45"/>
      <c r="L4" s="31" t="s">
        <v>39</v>
      </c>
      <c r="M4" s="17" t="s">
        <v>41</v>
      </c>
      <c r="N4" s="27">
        <v>0.64545450000000004</v>
      </c>
      <c r="O4" s="42">
        <v>0.41984197158691799</v>
      </c>
      <c r="P4" s="42">
        <v>0.465753424657534</v>
      </c>
      <c r="Q4" s="42">
        <v>0.73469387755102</v>
      </c>
      <c r="R4" s="42"/>
      <c r="S4" s="42"/>
      <c r="T4" s="42">
        <v>0.65454540000000005</v>
      </c>
      <c r="U4" s="42">
        <v>0.43435538015925601</v>
      </c>
      <c r="V4" s="42">
        <v>0.48648648647999998</v>
      </c>
      <c r="W4" s="42">
        <v>0.73972602739726001</v>
      </c>
      <c r="X4" s="42"/>
      <c r="Y4" s="42"/>
      <c r="Z4" s="17">
        <f>_xlfn.XLOOKUP(ExpPlan[[#This Row],[Dataset (.h5)]],Andeler[Datasett (.h5)],Andeler[total]," ")</f>
        <v>441</v>
      </c>
      <c r="AA4" s="28">
        <f>IFERROR(_xlfn.XLOOKUP(ExpPlan[[#This Row],[Dataset (.h5)]],Andeler[Datasett (.h5)],Andeler[Normale]," ")/ExpPlan[[#This Row],[Number of samples]]," ")</f>
        <v>0.51020408163265307</v>
      </c>
      <c r="AB4" s="28">
        <f>IFERROR(_xlfn.XLOOKUP(ExpPlan[[#This Row],[Dataset (.h5)]],Andeler[Datasett (.h5)],Andeler[1 artrose]," ")/ExpPlan[[#This Row],[Number of samples]]," ")</f>
        <v>0</v>
      </c>
      <c r="AC4" s="28">
        <f>IFERROR(_xlfn.XLOOKUP(ExpPlan[[#This Row],[Dataset (.h5)]],Andeler[Datasett (.h5)],Andeler[1 sklerose]," ")/ExpPlan[[#This Row],[Number of samples]]," ")</f>
        <v>0</v>
      </c>
      <c r="AD4" s="28">
        <f>IFERROR(_xlfn.XLOOKUP(ExpPlan[[#This Row],[Dataset (.h5)]],Andeler[Datasett (.h5)],Andeler[2 artrose]," ")/ExpPlan[[#This Row],[Number of samples]]," ")</f>
        <v>0</v>
      </c>
      <c r="AE4" s="28">
        <f>IFERROR(_xlfn.XLOOKUP(ExpPlan[[#This Row],[Dataset (.h5)]],Andeler[Datasett (.h5)],Andeler[2 PL]," ")/ExpPlan[[#This Row],[Number of samples]]," ")</f>
        <v>0</v>
      </c>
      <c r="AF4" s="28">
        <f>IFERROR(_xlfn.XLOOKUP(ExpPlan[[#This Row],[Dataset (.h5)]],Andeler[Datasett (.h5)],Andeler[3 artrose]," ")/ExpPlan[[#This Row],[Number of samples]]," ")</f>
        <v>0.48979591836734693</v>
      </c>
      <c r="AG4" s="28">
        <f>IFERROR(_xlfn.XLOOKUP(ExpPlan[[#This Row],[Dataset (.h5)]],Andeler[Datasett (.h5)],Andeler[3 MCD]," ")/ExpPlan[[#This Row],[Number of samples]]," ")</f>
        <v>0</v>
      </c>
      <c r="AH4" s="28">
        <f>IFERROR(_xlfn.XLOOKUP(ExpPlan[[#This Row],[Dataset (.h5)]],Andeler[Datasett (.h5)],Andeler[3 OCD]," ")/ExpPlan[[#This Row],[Number of samples]]," ")</f>
        <v>0</v>
      </c>
      <c r="AI4" s="28">
        <f>IFERROR(_xlfn.XLOOKUP(ExpPlan[[#This Row],[Dataset (.h5)]],Andeler[Datasett (.h5)],Andeler[3 UAP]," ")/ExpPlan[[#This Row],[Number of samples]]," ")</f>
        <v>0</v>
      </c>
      <c r="AJ4" s="28">
        <f>SUM(ExpPlan[[#This Row],[1 artrose]:[3 UAP]])</f>
        <v>0.48979591836734693</v>
      </c>
      <c r="AK4" s="16"/>
    </row>
    <row r="5" spans="2:38" ht="48" outlineLevel="1">
      <c r="B5" s="66">
        <v>11678482</v>
      </c>
      <c r="C5" s="67"/>
      <c r="D5" s="66" t="s">
        <v>33</v>
      </c>
      <c r="E5" s="66" t="str">
        <f>_xlfn.TEXTJOIN("_",TRUE,ExpPlan[[#This Row],[Complexity]],ExpPlan[[#This Row],[Dataset (.h5)]],ExpPlan[[#This Row],[Learning rate]])</f>
        <v>B0_normal_abnormal_0.0001</v>
      </c>
      <c r="F5" s="66"/>
      <c r="G5" s="66">
        <f>_xlfn.XLOOKUP(ExpPlan[[#This Row],[Dataset (.h5)]],Andeler[Datasett (.h5)],Andeler[resize_shape]," ")</f>
        <v>640</v>
      </c>
      <c r="H5" s="66" t="s">
        <v>34</v>
      </c>
      <c r="I5" s="66">
        <v>1E-4</v>
      </c>
      <c r="J5" s="66" t="s">
        <v>26</v>
      </c>
      <c r="K5" s="68"/>
      <c r="L5" s="67" t="s">
        <v>32</v>
      </c>
      <c r="M5" s="66">
        <v>20</v>
      </c>
      <c r="N5" s="69">
        <v>0.85006194999999996</v>
      </c>
      <c r="O5" s="70">
        <v>0.60488177798699805</v>
      </c>
      <c r="P5" s="70">
        <v>0.69975186104218301</v>
      </c>
      <c r="Q5" s="70">
        <v>0.90008250000000001</v>
      </c>
      <c r="R5" s="70"/>
      <c r="S5" s="70"/>
      <c r="T5" s="70"/>
      <c r="U5" s="70"/>
      <c r="V5" s="70"/>
      <c r="W5" s="70"/>
      <c r="X5" s="70"/>
      <c r="Y5" s="70"/>
      <c r="Z5" s="66">
        <f>_xlfn.XLOOKUP(ExpPlan[[#This Row],[Dataset (.h5)]],Andeler[Datasett (.h5)],Andeler[total]," ")</f>
        <v>3295</v>
      </c>
      <c r="AA5" s="71">
        <f>IFERROR(_xlfn.XLOOKUP(ExpPlan[[#This Row],[Dataset (.h5)]],Andeler[Datasett (.h5)],Andeler[Normale]," ")/ExpPlan[[#This Row],[Number of samples]]," ")</f>
        <v>0.22397572078907435</v>
      </c>
      <c r="AB5" s="71">
        <f>IFERROR(_xlfn.XLOOKUP(ExpPlan[[#This Row],[Dataset (.h5)]],Andeler[Datasett (.h5)],Andeler[1 artrose]," ")/ExpPlan[[#This Row],[Number of samples]]," ")</f>
        <v>0.3016691957511381</v>
      </c>
      <c r="AC5" s="71">
        <f>IFERROR(_xlfn.XLOOKUP(ExpPlan[[#This Row],[Dataset (.h5)]],Andeler[Datasett (.h5)],Andeler[1 sklerose]," ")/ExpPlan[[#This Row],[Number of samples]]," ")</f>
        <v>5.7966616084977239E-2</v>
      </c>
      <c r="AD5" s="71">
        <f>IFERROR(_xlfn.XLOOKUP(ExpPlan[[#This Row],[Dataset (.h5)]],Andeler[Datasett (.h5)],Andeler[2 artrose]," ")/ExpPlan[[#This Row],[Number of samples]]," ")</f>
        <v>0.15872534142640365</v>
      </c>
      <c r="AE5" s="71">
        <f>IFERROR(_xlfn.XLOOKUP(ExpPlan[[#This Row],[Dataset (.h5)]],Andeler[Datasett (.h5)],Andeler[2 PL]," ")/ExpPlan[[#This Row],[Number of samples]]," ")</f>
        <v>6.5857359635811838E-2</v>
      </c>
      <c r="AF5" s="71">
        <f>IFERROR(_xlfn.XLOOKUP(ExpPlan[[#This Row],[Dataset (.h5)]],Andeler[Datasett (.h5)],Andeler[3 artrose]," ")/ExpPlan[[#This Row],[Number of samples]]," ")</f>
        <v>6.5553869499241274E-2</v>
      </c>
      <c r="AG5" s="71">
        <f>IFERROR(_xlfn.XLOOKUP(ExpPlan[[#This Row],[Dataset (.h5)]],Andeler[Datasett (.h5)],Andeler[3 MCD]," ")/ExpPlan[[#This Row],[Number of samples]]," ")</f>
        <v>0.10166919575113809</v>
      </c>
      <c r="AH5" s="71">
        <f>IFERROR(_xlfn.XLOOKUP(ExpPlan[[#This Row],[Dataset (.h5)]],Andeler[Datasett (.h5)],Andeler[3 OCD]," ")/ExpPlan[[#This Row],[Number of samples]]," ")</f>
        <v>9.7116843702579666E-3</v>
      </c>
      <c r="AI5" s="71">
        <f>IFERROR(_xlfn.XLOOKUP(ExpPlan[[#This Row],[Dataset (.h5)]],Andeler[Datasett (.h5)],Andeler[3 UAP]," ")/ExpPlan[[#This Row],[Number of samples]]," ")</f>
        <v>1.4871016691957511E-2</v>
      </c>
      <c r="AJ5" s="71">
        <f>SUM(ExpPlan[[#This Row],[1 artrose]:[3 UAP]])</f>
        <v>0.77602427921092565</v>
      </c>
      <c r="AK5" s="16"/>
    </row>
    <row r="6" spans="2:38" ht="32" outlineLevel="1">
      <c r="B6" s="72">
        <v>11678816</v>
      </c>
      <c r="C6" s="73"/>
      <c r="D6" s="72" t="s">
        <v>24</v>
      </c>
      <c r="E6" s="72" t="str">
        <f>_xlfn.TEXTJOIN("_",TRUE,ExpPlan[[#This Row],[Complexity]],ExpPlan[[#This Row],[Dataset (.h5)]],ExpPlan[[#This Row],[Learning rate]])</f>
        <v>B0_normal_abnormal20_0.0001</v>
      </c>
      <c r="F6" s="72"/>
      <c r="G6" s="72">
        <f>_xlfn.XLOOKUP(ExpPlan[[#This Row],[Dataset (.h5)]],Andeler[Datasett (.h5)],Andeler[resize_shape]," ")</f>
        <v>800</v>
      </c>
      <c r="H6" s="72" t="s">
        <v>34</v>
      </c>
      <c r="I6" s="74">
        <v>1E-4</v>
      </c>
      <c r="J6" s="72" t="s">
        <v>26</v>
      </c>
      <c r="K6" s="75"/>
      <c r="L6" s="73" t="s">
        <v>52</v>
      </c>
      <c r="M6" s="72">
        <v>25</v>
      </c>
      <c r="N6" s="69"/>
      <c r="O6" s="76"/>
      <c r="P6" s="76"/>
      <c r="Q6" s="76"/>
      <c r="R6" s="76"/>
      <c r="S6" s="76"/>
      <c r="T6" s="76"/>
      <c r="U6" s="76"/>
      <c r="V6" s="76"/>
      <c r="W6" s="76"/>
      <c r="X6" s="76"/>
      <c r="Y6" s="76"/>
      <c r="Z6" s="72">
        <f>_xlfn.XLOOKUP(ExpPlan[[#This Row],[Dataset (.h5)]],Andeler[Datasett (.h5)],Andeler[total]," ")</f>
        <v>1468</v>
      </c>
      <c r="AA6" s="77">
        <f>IFERROR(_xlfn.XLOOKUP(ExpPlan[[#This Row],[Dataset (.h5)]],Andeler[Datasett (.h5)],Andeler[Normale]," ")/ExpPlan[[#This Row],[Number of samples]]," ")</f>
        <v>0.50272479564032702</v>
      </c>
      <c r="AB6" s="77">
        <f>IFERROR(_xlfn.XLOOKUP(ExpPlan[[#This Row],[Dataset (.h5)]],Andeler[Datasett (.h5)],Andeler[1 artrose]," ")/ExpPlan[[#This Row],[Number of samples]]," ")</f>
        <v>0.20027247956403268</v>
      </c>
      <c r="AC6" s="77">
        <f>IFERROR(_xlfn.XLOOKUP(ExpPlan[[#This Row],[Dataset (.h5)]],Andeler[Datasett (.h5)],Andeler[1 sklerose]," ")/ExpPlan[[#This Row],[Number of samples]]," ")</f>
        <v>4.2915531335149866E-2</v>
      </c>
      <c r="AD6" s="77">
        <f>IFERROR(_xlfn.XLOOKUP(ExpPlan[[#This Row],[Dataset (.h5)]],Andeler[Datasett (.h5)],Andeler[2 artrose]," ")/ExpPlan[[#This Row],[Number of samples]]," ")</f>
        <v>8.7874659400544966E-2</v>
      </c>
      <c r="AE6" s="77">
        <f>IFERROR(_xlfn.XLOOKUP(ExpPlan[[#This Row],[Dataset (.h5)]],Andeler[Datasett (.h5)],Andeler[2 PL]," ")/ExpPlan[[#This Row],[Number of samples]]," ")</f>
        <v>4.9727520435967301E-2</v>
      </c>
      <c r="AF6" s="77">
        <f>IFERROR(_xlfn.XLOOKUP(ExpPlan[[#This Row],[Dataset (.h5)]],Andeler[Datasett (.h5)],Andeler[3 artrose]," ")/ExpPlan[[#This Row],[Number of samples]]," ")</f>
        <v>3.2697547683923703E-2</v>
      </c>
      <c r="AG6" s="77">
        <f>IFERROR(_xlfn.XLOOKUP(ExpPlan[[#This Row],[Dataset (.h5)]],Andeler[Datasett (.h5)],Andeler[3 MCD]," ")/ExpPlan[[#This Row],[Number of samples]]," ")</f>
        <v>7.0163487738419614E-2</v>
      </c>
      <c r="AH6" s="77">
        <f>IFERROR(_xlfn.XLOOKUP(ExpPlan[[#This Row],[Dataset (.h5)]],Andeler[Datasett (.h5)],Andeler[3 OCD]," ")/ExpPlan[[#This Row],[Number of samples]]," ")</f>
        <v>7.4931880108991822E-3</v>
      </c>
      <c r="AI6" s="77">
        <f>IFERROR(_xlfn.XLOOKUP(ExpPlan[[#This Row],[Dataset (.h5)]],Andeler[Datasett (.h5)],Andeler[3 UAP]," ")/ExpPlan[[#This Row],[Number of samples]]," ")</f>
        <v>6.1307901907356951E-3</v>
      </c>
      <c r="AJ6" s="71">
        <f>SUM(ExpPlan[[#This Row],[1 artrose]:[3 UAP]])</f>
        <v>0.49727520435967298</v>
      </c>
      <c r="AK6" s="16"/>
    </row>
    <row r="7" spans="2:38" ht="96" outlineLevel="1">
      <c r="B7" s="66">
        <v>11678985</v>
      </c>
      <c r="C7" s="67"/>
      <c r="D7" s="66" t="s">
        <v>24</v>
      </c>
      <c r="E7" s="66" t="str">
        <f>_xlfn.TEXTJOIN("_",TRUE,ExpPlan[[#This Row],[Complexity]],ExpPlan[[#This Row],[Dataset (.h5)]],ExpPlan[[#This Row],[Learning rate]])</f>
        <v>B0_normal_abnormal20_0.0001</v>
      </c>
      <c r="F7" s="66"/>
      <c r="G7" s="66">
        <f>_xlfn.XLOOKUP(ExpPlan[[#This Row],[Dataset (.h5)]],Andeler[Datasett (.h5)],Andeler[resize_shape]," ")</f>
        <v>800</v>
      </c>
      <c r="H7" s="66" t="s">
        <v>34</v>
      </c>
      <c r="I7" s="66">
        <v>1E-4</v>
      </c>
      <c r="J7" s="66" t="s">
        <v>26</v>
      </c>
      <c r="K7" s="68"/>
      <c r="L7" s="67" t="s">
        <v>37</v>
      </c>
      <c r="M7" s="66">
        <v>25</v>
      </c>
      <c r="N7" s="69">
        <v>0.80381469999999999</v>
      </c>
      <c r="O7" s="70">
        <v>0.60858888168605796</v>
      </c>
      <c r="P7" s="70">
        <v>0.79888268156424502</v>
      </c>
      <c r="Q7" s="70"/>
      <c r="R7" s="70"/>
      <c r="S7" s="70"/>
      <c r="T7" s="70"/>
      <c r="U7" s="70"/>
      <c r="V7" s="70"/>
      <c r="W7" s="70"/>
      <c r="X7" s="70"/>
      <c r="Y7" s="70"/>
      <c r="Z7" s="66">
        <f>_xlfn.XLOOKUP(ExpPlan[[#This Row],[Dataset (.h5)]],Andeler[Datasett (.h5)],Andeler[total]," ")</f>
        <v>1468</v>
      </c>
      <c r="AA7" s="71">
        <f>IFERROR(_xlfn.XLOOKUP(ExpPlan[[#This Row],[Dataset (.h5)]],Andeler[Datasett (.h5)],Andeler[Normale]," ")/ExpPlan[[#This Row],[Number of samples]]," ")</f>
        <v>0.50272479564032702</v>
      </c>
      <c r="AB7" s="71">
        <f>IFERROR(_xlfn.XLOOKUP(ExpPlan[[#This Row],[Dataset (.h5)]],Andeler[Datasett (.h5)],Andeler[1 artrose]," ")/ExpPlan[[#This Row],[Number of samples]]," ")</f>
        <v>0.20027247956403268</v>
      </c>
      <c r="AC7" s="71">
        <f>IFERROR(_xlfn.XLOOKUP(ExpPlan[[#This Row],[Dataset (.h5)]],Andeler[Datasett (.h5)],Andeler[1 sklerose]," ")/ExpPlan[[#This Row],[Number of samples]]," ")</f>
        <v>4.2915531335149866E-2</v>
      </c>
      <c r="AD7" s="71">
        <f>IFERROR(_xlfn.XLOOKUP(ExpPlan[[#This Row],[Dataset (.h5)]],Andeler[Datasett (.h5)],Andeler[2 artrose]," ")/ExpPlan[[#This Row],[Number of samples]]," ")</f>
        <v>8.7874659400544966E-2</v>
      </c>
      <c r="AE7" s="71">
        <f>IFERROR(_xlfn.XLOOKUP(ExpPlan[[#This Row],[Dataset (.h5)]],Andeler[Datasett (.h5)],Andeler[2 PL]," ")/ExpPlan[[#This Row],[Number of samples]]," ")</f>
        <v>4.9727520435967301E-2</v>
      </c>
      <c r="AF7" s="71">
        <f>IFERROR(_xlfn.XLOOKUP(ExpPlan[[#This Row],[Dataset (.h5)]],Andeler[Datasett (.h5)],Andeler[3 artrose]," ")/ExpPlan[[#This Row],[Number of samples]]," ")</f>
        <v>3.2697547683923703E-2</v>
      </c>
      <c r="AG7" s="71">
        <f>IFERROR(_xlfn.XLOOKUP(ExpPlan[[#This Row],[Dataset (.h5)]],Andeler[Datasett (.h5)],Andeler[3 MCD]," ")/ExpPlan[[#This Row],[Number of samples]]," ")</f>
        <v>7.0163487738419614E-2</v>
      </c>
      <c r="AH7" s="71">
        <f>IFERROR(_xlfn.XLOOKUP(ExpPlan[[#This Row],[Dataset (.h5)]],Andeler[Datasett (.h5)],Andeler[3 OCD]," ")/ExpPlan[[#This Row],[Number of samples]]," ")</f>
        <v>7.4931880108991822E-3</v>
      </c>
      <c r="AI7" s="71">
        <f>IFERROR(_xlfn.XLOOKUP(ExpPlan[[#This Row],[Dataset (.h5)]],Andeler[Datasett (.h5)],Andeler[3 UAP]," ")/ExpPlan[[#This Row],[Number of samples]]," ")</f>
        <v>6.1307901907356951E-3</v>
      </c>
      <c r="AJ7" s="71">
        <f>SUM(ExpPlan[[#This Row],[1 artrose]:[3 UAP]])</f>
        <v>0.49727520435967298</v>
      </c>
      <c r="AK7" s="16"/>
    </row>
    <row r="8" spans="2:38" outlineLevel="1">
      <c r="B8" s="66">
        <v>11678995</v>
      </c>
      <c r="C8" s="67"/>
      <c r="D8" s="66" t="s">
        <v>24</v>
      </c>
      <c r="E8" s="66" t="str">
        <f>_xlfn.TEXTJOIN("_",TRUE,ExpPlan[[#This Row],[Complexity]],ExpPlan[[#This Row],[Dataset (.h5)]],ExpPlan[[#This Row],[Learning rate]])</f>
        <v>B1_normal_abnormal20_0.0001</v>
      </c>
      <c r="F8" s="66"/>
      <c r="G8" s="66">
        <f>_xlfn.XLOOKUP(ExpPlan[[#This Row],[Dataset (.h5)]],Andeler[Datasett (.h5)],Andeler[resize_shape]," ")</f>
        <v>800</v>
      </c>
      <c r="H8" s="66" t="s">
        <v>35</v>
      </c>
      <c r="I8" s="66">
        <v>1E-4</v>
      </c>
      <c r="J8" s="66" t="s">
        <v>26</v>
      </c>
      <c r="K8" s="68"/>
      <c r="L8" s="78"/>
      <c r="M8" s="66" t="s">
        <v>36</v>
      </c>
      <c r="N8" s="69">
        <v>0.83651226999999995</v>
      </c>
      <c r="O8" s="70">
        <v>0.67452370754704705</v>
      </c>
      <c r="P8" s="70">
        <v>0.83146067415730296</v>
      </c>
      <c r="Q8" s="70">
        <v>0.84126984126984095</v>
      </c>
      <c r="R8" s="70"/>
      <c r="S8" s="70"/>
      <c r="T8" s="70">
        <v>0.83651226999999995</v>
      </c>
      <c r="U8" s="70">
        <v>0.67307178313667004</v>
      </c>
      <c r="V8" s="70">
        <v>0.83606557377049096</v>
      </c>
      <c r="W8" s="70">
        <v>0.83695652173913004</v>
      </c>
      <c r="X8" s="70"/>
      <c r="Y8" s="70"/>
      <c r="Z8" s="66">
        <f>_xlfn.XLOOKUP(ExpPlan[[#This Row],[Dataset (.h5)]],Andeler[Datasett (.h5)],Andeler[total]," ")</f>
        <v>1468</v>
      </c>
      <c r="AA8" s="71">
        <f>IFERROR(_xlfn.XLOOKUP(ExpPlan[[#This Row],[Dataset (.h5)]],Andeler[Datasett (.h5)],Andeler[Normale]," ")/ExpPlan[[#This Row],[Number of samples]]," ")</f>
        <v>0.50272479564032702</v>
      </c>
      <c r="AB8" s="71">
        <f>IFERROR(_xlfn.XLOOKUP(ExpPlan[[#This Row],[Dataset (.h5)]],Andeler[Datasett (.h5)],Andeler[1 artrose]," ")/ExpPlan[[#This Row],[Number of samples]]," ")</f>
        <v>0.20027247956403268</v>
      </c>
      <c r="AC8" s="71">
        <f>IFERROR(_xlfn.XLOOKUP(ExpPlan[[#This Row],[Dataset (.h5)]],Andeler[Datasett (.h5)],Andeler[1 sklerose]," ")/ExpPlan[[#This Row],[Number of samples]]," ")</f>
        <v>4.2915531335149866E-2</v>
      </c>
      <c r="AD8" s="71">
        <f>IFERROR(_xlfn.XLOOKUP(ExpPlan[[#This Row],[Dataset (.h5)]],Andeler[Datasett (.h5)],Andeler[2 artrose]," ")/ExpPlan[[#This Row],[Number of samples]]," ")</f>
        <v>8.7874659400544966E-2</v>
      </c>
      <c r="AE8" s="71">
        <f>IFERROR(_xlfn.XLOOKUP(ExpPlan[[#This Row],[Dataset (.h5)]],Andeler[Datasett (.h5)],Andeler[2 PL]," ")/ExpPlan[[#This Row],[Number of samples]]," ")</f>
        <v>4.9727520435967301E-2</v>
      </c>
      <c r="AF8" s="71">
        <f>IFERROR(_xlfn.XLOOKUP(ExpPlan[[#This Row],[Dataset (.h5)]],Andeler[Datasett (.h5)],Andeler[3 artrose]," ")/ExpPlan[[#This Row],[Number of samples]]," ")</f>
        <v>3.2697547683923703E-2</v>
      </c>
      <c r="AG8" s="71">
        <f>IFERROR(_xlfn.XLOOKUP(ExpPlan[[#This Row],[Dataset (.h5)]],Andeler[Datasett (.h5)],Andeler[3 MCD]," ")/ExpPlan[[#This Row],[Number of samples]]," ")</f>
        <v>7.0163487738419614E-2</v>
      </c>
      <c r="AH8" s="71">
        <f>IFERROR(_xlfn.XLOOKUP(ExpPlan[[#This Row],[Dataset (.h5)]],Andeler[Datasett (.h5)],Andeler[3 OCD]," ")/ExpPlan[[#This Row],[Number of samples]]," ")</f>
        <v>7.4931880108991822E-3</v>
      </c>
      <c r="AI8" s="71">
        <f>IFERROR(_xlfn.XLOOKUP(ExpPlan[[#This Row],[Dataset (.h5)]],Andeler[Datasett (.h5)],Andeler[3 UAP]," ")/ExpPlan[[#This Row],[Number of samples]]," ")</f>
        <v>6.1307901907356951E-3</v>
      </c>
      <c r="AJ8" s="71">
        <f>SUM(ExpPlan[[#This Row],[1 artrose]:[3 UAP]])</f>
        <v>0.49727520435967298</v>
      </c>
      <c r="AK8" s="16"/>
    </row>
    <row r="9" spans="2:38" outlineLevel="1">
      <c r="B9" s="66">
        <v>11679177</v>
      </c>
      <c r="C9" s="67"/>
      <c r="D9" s="66" t="s">
        <v>24</v>
      </c>
      <c r="E9" s="66" t="str">
        <f>_xlfn.TEXTJOIN("_",TRUE,ExpPlan[[#This Row],[Complexity]],ExpPlan[[#This Row],[Dataset (.h5)]],ExpPlan[[#This Row],[Learning rate]])</f>
        <v>B2_normal_abnormal20_0.0001</v>
      </c>
      <c r="F9" s="66"/>
      <c r="G9" s="66">
        <f>_xlfn.XLOOKUP(ExpPlan[[#This Row],[Dataset (.h5)]],Andeler[Datasett (.h5)],Andeler[resize_shape]," ")</f>
        <v>800</v>
      </c>
      <c r="H9" s="66" t="s">
        <v>25</v>
      </c>
      <c r="I9" s="66">
        <v>1E-4</v>
      </c>
      <c r="J9" s="66" t="s">
        <v>26</v>
      </c>
      <c r="K9" s="68"/>
      <c r="L9" s="78"/>
      <c r="M9" s="66" t="s">
        <v>29</v>
      </c>
      <c r="N9" s="69">
        <v>0.87465939999999998</v>
      </c>
      <c r="O9" s="70">
        <v>0.75088015698352994</v>
      </c>
      <c r="P9" s="70">
        <v>0.87894736842105203</v>
      </c>
      <c r="Q9" s="70">
        <v>0.870056497175141</v>
      </c>
      <c r="R9" s="70"/>
      <c r="S9" s="70"/>
      <c r="T9" s="70"/>
      <c r="U9" s="70"/>
      <c r="V9" s="70"/>
      <c r="W9" s="70"/>
      <c r="X9" s="70"/>
      <c r="Y9" s="70"/>
      <c r="Z9" s="66">
        <f>_xlfn.XLOOKUP(ExpPlan[[#This Row],[Dataset (.h5)]],Andeler[Datasett (.h5)],Andeler[total]," ")</f>
        <v>1468</v>
      </c>
      <c r="AA9" s="71">
        <f>IFERROR(_xlfn.XLOOKUP(ExpPlan[[#This Row],[Dataset (.h5)]],Andeler[Datasett (.h5)],Andeler[Normale]," ")/ExpPlan[[#This Row],[Number of samples]]," ")</f>
        <v>0.50272479564032702</v>
      </c>
      <c r="AB9" s="71">
        <f>IFERROR(_xlfn.XLOOKUP(ExpPlan[[#This Row],[Dataset (.h5)]],Andeler[Datasett (.h5)],Andeler[1 artrose]," ")/ExpPlan[[#This Row],[Number of samples]]," ")</f>
        <v>0.20027247956403268</v>
      </c>
      <c r="AC9" s="71">
        <f>IFERROR(_xlfn.XLOOKUP(ExpPlan[[#This Row],[Dataset (.h5)]],Andeler[Datasett (.h5)],Andeler[1 sklerose]," ")/ExpPlan[[#This Row],[Number of samples]]," ")</f>
        <v>4.2915531335149866E-2</v>
      </c>
      <c r="AD9" s="71">
        <f>IFERROR(_xlfn.XLOOKUP(ExpPlan[[#This Row],[Dataset (.h5)]],Andeler[Datasett (.h5)],Andeler[2 artrose]," ")/ExpPlan[[#This Row],[Number of samples]]," ")</f>
        <v>8.7874659400544966E-2</v>
      </c>
      <c r="AE9" s="71">
        <f>IFERROR(_xlfn.XLOOKUP(ExpPlan[[#This Row],[Dataset (.h5)]],Andeler[Datasett (.h5)],Andeler[2 PL]," ")/ExpPlan[[#This Row],[Number of samples]]," ")</f>
        <v>4.9727520435967301E-2</v>
      </c>
      <c r="AF9" s="71">
        <f>IFERROR(_xlfn.XLOOKUP(ExpPlan[[#This Row],[Dataset (.h5)]],Andeler[Datasett (.h5)],Andeler[3 artrose]," ")/ExpPlan[[#This Row],[Number of samples]]," ")</f>
        <v>3.2697547683923703E-2</v>
      </c>
      <c r="AG9" s="71">
        <f>IFERROR(_xlfn.XLOOKUP(ExpPlan[[#This Row],[Dataset (.h5)]],Andeler[Datasett (.h5)],Andeler[3 MCD]," ")/ExpPlan[[#This Row],[Number of samples]]," ")</f>
        <v>7.0163487738419614E-2</v>
      </c>
      <c r="AH9" s="71">
        <f>IFERROR(_xlfn.XLOOKUP(ExpPlan[[#This Row],[Dataset (.h5)]],Andeler[Datasett (.h5)],Andeler[3 OCD]," ")/ExpPlan[[#This Row],[Number of samples]]," ")</f>
        <v>7.4931880108991822E-3</v>
      </c>
      <c r="AI9" s="71">
        <f>IFERROR(_xlfn.XLOOKUP(ExpPlan[[#This Row],[Dataset (.h5)]],Andeler[Datasett (.h5)],Andeler[3 UAP]," ")/ExpPlan[[#This Row],[Number of samples]]," ")</f>
        <v>6.1307901907356951E-3</v>
      </c>
      <c r="AJ9" s="71">
        <f>SUM(ExpPlan[[#This Row],[1 artrose]:[3 UAP]])</f>
        <v>0.49727520435967298</v>
      </c>
      <c r="AK9" s="16"/>
    </row>
    <row r="10" spans="2:38" ht="16" outlineLevel="1">
      <c r="B10" s="66">
        <v>11679219</v>
      </c>
      <c r="C10" s="67" t="s">
        <v>50</v>
      </c>
      <c r="D10" s="66" t="s">
        <v>24</v>
      </c>
      <c r="E10" s="66" t="str">
        <f>_xlfn.TEXTJOIN("_",TRUE,ExpPlan[[#This Row],[Complexity]],ExpPlan[[#This Row],[Dataset (.h5)]],ExpPlan[[#This Row],[Learning rate]])</f>
        <v>B2_normal_abnormal20_0.0001</v>
      </c>
      <c r="F10" s="66"/>
      <c r="G10" s="66">
        <f>_xlfn.XLOOKUP(ExpPlan[[#This Row],[Dataset (.h5)]],Andeler[Datasett (.h5)],Andeler[resize_shape]," ")</f>
        <v>800</v>
      </c>
      <c r="H10" s="66" t="s">
        <v>25</v>
      </c>
      <c r="I10" s="66">
        <v>1E-4</v>
      </c>
      <c r="J10" s="66" t="s">
        <v>42</v>
      </c>
      <c r="K10" s="68"/>
      <c r="L10" s="78"/>
      <c r="M10" s="66" t="s">
        <v>43</v>
      </c>
      <c r="N10" s="69">
        <v>0.56948226999999996</v>
      </c>
      <c r="O10" s="70">
        <v>0.14024371649756301</v>
      </c>
      <c r="P10" s="70">
        <v>0.60101010101010099</v>
      </c>
      <c r="Q10" s="70"/>
      <c r="R10" s="70"/>
      <c r="S10" s="70"/>
      <c r="T10" s="70"/>
      <c r="U10" s="70"/>
      <c r="V10" s="70"/>
      <c r="W10" s="70"/>
      <c r="X10" s="70"/>
      <c r="Y10" s="70"/>
      <c r="Z10" s="66">
        <f>_xlfn.XLOOKUP(ExpPlan[[#This Row],[Dataset (.h5)]],Andeler[Datasett (.h5)],Andeler[total]," ")</f>
        <v>1468</v>
      </c>
      <c r="AA10" s="71">
        <f>IFERROR(_xlfn.XLOOKUP(ExpPlan[[#This Row],[Dataset (.h5)]],Andeler[Datasett (.h5)],Andeler[Normale]," ")/ExpPlan[[#This Row],[Number of samples]]," ")</f>
        <v>0.50272479564032702</v>
      </c>
      <c r="AB10" s="71">
        <f>IFERROR(_xlfn.XLOOKUP(ExpPlan[[#This Row],[Dataset (.h5)]],Andeler[Datasett (.h5)],Andeler[1 artrose]," ")/ExpPlan[[#This Row],[Number of samples]]," ")</f>
        <v>0.20027247956403268</v>
      </c>
      <c r="AC10" s="71">
        <f>IFERROR(_xlfn.XLOOKUP(ExpPlan[[#This Row],[Dataset (.h5)]],Andeler[Datasett (.h5)],Andeler[1 sklerose]," ")/ExpPlan[[#This Row],[Number of samples]]," ")</f>
        <v>4.2915531335149866E-2</v>
      </c>
      <c r="AD10" s="71">
        <f>IFERROR(_xlfn.XLOOKUP(ExpPlan[[#This Row],[Dataset (.h5)]],Andeler[Datasett (.h5)],Andeler[2 artrose]," ")/ExpPlan[[#This Row],[Number of samples]]," ")</f>
        <v>8.7874659400544966E-2</v>
      </c>
      <c r="AE10" s="71">
        <f>IFERROR(_xlfn.XLOOKUP(ExpPlan[[#This Row],[Dataset (.h5)]],Andeler[Datasett (.h5)],Andeler[2 PL]," ")/ExpPlan[[#This Row],[Number of samples]]," ")</f>
        <v>4.9727520435967301E-2</v>
      </c>
      <c r="AF10" s="71">
        <f>IFERROR(_xlfn.XLOOKUP(ExpPlan[[#This Row],[Dataset (.h5)]],Andeler[Datasett (.h5)],Andeler[3 artrose]," ")/ExpPlan[[#This Row],[Number of samples]]," ")</f>
        <v>3.2697547683923703E-2</v>
      </c>
      <c r="AG10" s="71">
        <f>IFERROR(_xlfn.XLOOKUP(ExpPlan[[#This Row],[Dataset (.h5)]],Andeler[Datasett (.h5)],Andeler[3 MCD]," ")/ExpPlan[[#This Row],[Number of samples]]," ")</f>
        <v>7.0163487738419614E-2</v>
      </c>
      <c r="AH10" s="71">
        <f>IFERROR(_xlfn.XLOOKUP(ExpPlan[[#This Row],[Dataset (.h5)]],Andeler[Datasett (.h5)],Andeler[3 OCD]," ")/ExpPlan[[#This Row],[Number of samples]]," ")</f>
        <v>7.4931880108991822E-3</v>
      </c>
      <c r="AI10" s="71">
        <f>IFERROR(_xlfn.XLOOKUP(ExpPlan[[#This Row],[Dataset (.h5)]],Andeler[Datasett (.h5)],Andeler[3 UAP]," ")/ExpPlan[[#This Row],[Number of samples]]," ")</f>
        <v>6.1307901907356951E-3</v>
      </c>
      <c r="AJ10" s="71">
        <f>SUM(ExpPlan[[#This Row],[1 artrose]:[3 UAP]])</f>
        <v>0.49727520435967298</v>
      </c>
      <c r="AK10" s="16"/>
    </row>
    <row r="11" spans="2:38" ht="32" outlineLevel="1">
      <c r="B11" s="72">
        <v>11679234</v>
      </c>
      <c r="C11" s="73"/>
      <c r="D11" s="72" t="s">
        <v>24</v>
      </c>
      <c r="E11" s="72" t="str">
        <f>_xlfn.TEXTJOIN("_",TRUE,ExpPlan[[#This Row],[Complexity]],ExpPlan[[#This Row],[Dataset (.h5)]],ExpPlan[[#This Row],[Learning rate]])</f>
        <v>B3_normal_abnormal20_0.0001</v>
      </c>
      <c r="F11" s="72"/>
      <c r="G11" s="72">
        <f>_xlfn.XLOOKUP(ExpPlan[[#This Row],[Dataset (.h5)]],Andeler[Datasett (.h5)],Andeler[resize_shape]," ")</f>
        <v>800</v>
      </c>
      <c r="H11" s="72" t="s">
        <v>30</v>
      </c>
      <c r="I11" s="74">
        <v>1E-4</v>
      </c>
      <c r="J11" s="72" t="s">
        <v>26</v>
      </c>
      <c r="K11" s="75"/>
      <c r="L11" s="73" t="s">
        <v>52</v>
      </c>
      <c r="M11" s="72">
        <v>30</v>
      </c>
      <c r="N11" s="76"/>
      <c r="O11" s="76"/>
      <c r="P11" s="76"/>
      <c r="Q11" s="76"/>
      <c r="R11" s="76"/>
      <c r="S11" s="76"/>
      <c r="T11" s="76"/>
      <c r="U11" s="76"/>
      <c r="V11" s="76"/>
      <c r="W11" s="76"/>
      <c r="X11" s="76"/>
      <c r="Y11" s="76"/>
      <c r="Z11" s="72">
        <f>_xlfn.XLOOKUP(ExpPlan[[#This Row],[Dataset (.h5)]],Andeler[Datasett (.h5)],Andeler[total]," ")</f>
        <v>1468</v>
      </c>
      <c r="AA11" s="77">
        <f>IFERROR(_xlfn.XLOOKUP(ExpPlan[[#This Row],[Dataset (.h5)]],Andeler[Datasett (.h5)],Andeler[Normale]," ")/ExpPlan[[#This Row],[Number of samples]]," ")</f>
        <v>0.50272479564032702</v>
      </c>
      <c r="AB11" s="77">
        <f>IFERROR(_xlfn.XLOOKUP(ExpPlan[[#This Row],[Dataset (.h5)]],Andeler[Datasett (.h5)],Andeler[1 artrose]," ")/ExpPlan[[#This Row],[Number of samples]]," ")</f>
        <v>0.20027247956403268</v>
      </c>
      <c r="AC11" s="77">
        <f>IFERROR(_xlfn.XLOOKUP(ExpPlan[[#This Row],[Dataset (.h5)]],Andeler[Datasett (.h5)],Andeler[1 sklerose]," ")/ExpPlan[[#This Row],[Number of samples]]," ")</f>
        <v>4.2915531335149866E-2</v>
      </c>
      <c r="AD11" s="77">
        <f>IFERROR(_xlfn.XLOOKUP(ExpPlan[[#This Row],[Dataset (.h5)]],Andeler[Datasett (.h5)],Andeler[2 artrose]," ")/ExpPlan[[#This Row],[Number of samples]]," ")</f>
        <v>8.7874659400544966E-2</v>
      </c>
      <c r="AE11" s="77">
        <f>IFERROR(_xlfn.XLOOKUP(ExpPlan[[#This Row],[Dataset (.h5)]],Andeler[Datasett (.h5)],Andeler[2 PL]," ")/ExpPlan[[#This Row],[Number of samples]]," ")</f>
        <v>4.9727520435967301E-2</v>
      </c>
      <c r="AF11" s="77">
        <f>IFERROR(_xlfn.XLOOKUP(ExpPlan[[#This Row],[Dataset (.h5)]],Andeler[Datasett (.h5)],Andeler[3 artrose]," ")/ExpPlan[[#This Row],[Number of samples]]," ")</f>
        <v>3.2697547683923703E-2</v>
      </c>
      <c r="AG11" s="77">
        <f>IFERROR(_xlfn.XLOOKUP(ExpPlan[[#This Row],[Dataset (.h5)]],Andeler[Datasett (.h5)],Andeler[3 MCD]," ")/ExpPlan[[#This Row],[Number of samples]]," ")</f>
        <v>7.0163487738419614E-2</v>
      </c>
      <c r="AH11" s="77">
        <f>IFERROR(_xlfn.XLOOKUP(ExpPlan[[#This Row],[Dataset (.h5)]],Andeler[Datasett (.h5)],Andeler[3 OCD]," ")/ExpPlan[[#This Row],[Number of samples]]," ")</f>
        <v>7.4931880108991822E-3</v>
      </c>
      <c r="AI11" s="77">
        <f>IFERROR(_xlfn.XLOOKUP(ExpPlan[[#This Row],[Dataset (.h5)]],Andeler[Datasett (.h5)],Andeler[3 UAP]," ")/ExpPlan[[#This Row],[Number of samples]]," ")</f>
        <v>6.1307901907356951E-3</v>
      </c>
      <c r="AJ11" s="77">
        <f>SUM(ExpPlan[[#This Row],[1 artrose]:[3 UAP]])</f>
        <v>0.49727520435967298</v>
      </c>
    </row>
    <row r="12" spans="2:38" outlineLevel="1">
      <c r="B12" s="66">
        <v>11679247</v>
      </c>
      <c r="C12" s="67"/>
      <c r="D12" s="66" t="s">
        <v>24</v>
      </c>
      <c r="E12" s="66" t="str">
        <f>_xlfn.TEXTJOIN("_",TRUE,ExpPlan[[#This Row],[Complexity]],ExpPlan[[#This Row],[Dataset (.h5)]],ExpPlan[[#This Row],[Learning rate]])</f>
        <v>B3_normal_abnormal20_0.0001</v>
      </c>
      <c r="F12" s="66"/>
      <c r="G12" s="66">
        <f>_xlfn.XLOOKUP(ExpPlan[[#This Row],[Dataset (.h5)]],Andeler[Datasett (.h5)],Andeler[resize_shape]," ")</f>
        <v>800</v>
      </c>
      <c r="H12" s="66" t="s">
        <v>30</v>
      </c>
      <c r="I12" s="66">
        <v>1E-4</v>
      </c>
      <c r="J12" s="66" t="s">
        <v>26</v>
      </c>
      <c r="K12" s="68"/>
      <c r="L12" s="78"/>
      <c r="M12" s="66" t="s">
        <v>31</v>
      </c>
      <c r="N12" s="69">
        <v>0.85286105000000001</v>
      </c>
      <c r="O12" s="70">
        <v>0.70607127950345405</v>
      </c>
      <c r="P12" s="70">
        <v>0.85561497326203195</v>
      </c>
      <c r="Q12" s="70">
        <v>0.85</v>
      </c>
      <c r="R12" s="70"/>
      <c r="S12" s="70"/>
      <c r="T12" s="70">
        <v>0.86920980000000003</v>
      </c>
      <c r="U12" s="70">
        <v>0.73846930625659901</v>
      </c>
      <c r="V12" s="70">
        <v>0.86885245901639296</v>
      </c>
      <c r="W12" s="70">
        <v>0.86956521739130399</v>
      </c>
      <c r="X12" s="70"/>
      <c r="Y12" s="70"/>
      <c r="Z12" s="79">
        <f>_xlfn.XLOOKUP(ExpPlan[[#This Row],[Dataset (.h5)]],Andeler[Datasett (.h5)],Andeler[total]," ")</f>
        <v>1468</v>
      </c>
      <c r="AA12" s="80">
        <f>IFERROR(_xlfn.XLOOKUP(ExpPlan[[#This Row],[Dataset (.h5)]],Andeler[Datasett (.h5)],Andeler[Normale]," ")/ExpPlan[[#This Row],[Number of samples]]," ")</f>
        <v>0.50272479564032702</v>
      </c>
      <c r="AB12" s="80">
        <f>IFERROR(_xlfn.XLOOKUP(ExpPlan[[#This Row],[Dataset (.h5)]],Andeler[Datasett (.h5)],Andeler[1 artrose]," ")/ExpPlan[[#This Row],[Number of samples]]," ")</f>
        <v>0.20027247956403268</v>
      </c>
      <c r="AC12" s="80">
        <f>IFERROR(_xlfn.XLOOKUP(ExpPlan[[#This Row],[Dataset (.h5)]],Andeler[Datasett (.h5)],Andeler[1 sklerose]," ")/ExpPlan[[#This Row],[Number of samples]]," ")</f>
        <v>4.2915531335149866E-2</v>
      </c>
      <c r="AD12" s="80">
        <f>IFERROR(_xlfn.XLOOKUP(ExpPlan[[#This Row],[Dataset (.h5)]],Andeler[Datasett (.h5)],Andeler[2 artrose]," ")/ExpPlan[[#This Row],[Number of samples]]," ")</f>
        <v>8.7874659400544966E-2</v>
      </c>
      <c r="AE12" s="80">
        <f>IFERROR(_xlfn.XLOOKUP(ExpPlan[[#This Row],[Dataset (.h5)]],Andeler[Datasett (.h5)],Andeler[2 PL]," ")/ExpPlan[[#This Row],[Number of samples]]," ")</f>
        <v>4.9727520435967301E-2</v>
      </c>
      <c r="AF12" s="80">
        <f>IFERROR(_xlfn.XLOOKUP(ExpPlan[[#This Row],[Dataset (.h5)]],Andeler[Datasett (.h5)],Andeler[3 artrose]," ")/ExpPlan[[#This Row],[Number of samples]]," ")</f>
        <v>3.2697547683923703E-2</v>
      </c>
      <c r="AG12" s="80">
        <f>IFERROR(_xlfn.XLOOKUP(ExpPlan[[#This Row],[Dataset (.h5)]],Andeler[Datasett (.h5)],Andeler[3 MCD]," ")/ExpPlan[[#This Row],[Number of samples]]," ")</f>
        <v>7.0163487738419614E-2</v>
      </c>
      <c r="AH12" s="80">
        <f>IFERROR(_xlfn.XLOOKUP(ExpPlan[[#This Row],[Dataset (.h5)]],Andeler[Datasett (.h5)],Andeler[3 OCD]," ")/ExpPlan[[#This Row],[Number of samples]]," ")</f>
        <v>7.4931880108991822E-3</v>
      </c>
      <c r="AI12" s="80">
        <f>IFERROR(_xlfn.XLOOKUP(ExpPlan[[#This Row],[Dataset (.h5)]],Andeler[Datasett (.h5)],Andeler[3 UAP]," ")/ExpPlan[[#This Row],[Number of samples]]," ")</f>
        <v>6.1307901907356951E-3</v>
      </c>
      <c r="AJ12" s="71">
        <f>SUM(ExpPlan[[#This Row],[1 artrose]:[3 UAP]])</f>
        <v>0.49727520435967298</v>
      </c>
    </row>
    <row r="13" spans="2:38" outlineLevel="1">
      <c r="B13" s="66">
        <v>11679254</v>
      </c>
      <c r="C13" s="67"/>
      <c r="D13" s="66" t="s">
        <v>24</v>
      </c>
      <c r="E13" s="66" t="str">
        <f>_xlfn.TEXTJOIN("_",TRUE,ExpPlan[[#This Row],[Complexity]],ExpPlan[[#This Row],[Dataset (.h5)]],ExpPlan[[#This Row],[Learning rate]])</f>
        <v>B3_normal_abnormal20_0.0001</v>
      </c>
      <c r="F13" s="66"/>
      <c r="G13" s="66">
        <f>_xlfn.XLOOKUP(ExpPlan[[#This Row],[Dataset (.h5)]],Andeler[Datasett (.h5)],Andeler[resize_shape]," ")</f>
        <v>800</v>
      </c>
      <c r="H13" s="66" t="s">
        <v>30</v>
      </c>
      <c r="I13" s="66">
        <v>1E-4</v>
      </c>
      <c r="J13" s="66" t="s">
        <v>42</v>
      </c>
      <c r="K13" s="68"/>
      <c r="L13" s="78"/>
      <c r="M13" s="66" t="s">
        <v>43</v>
      </c>
      <c r="N13" s="69">
        <v>0.60762939999999999</v>
      </c>
      <c r="O13" s="70">
        <v>0.21555113873127099</v>
      </c>
      <c r="P13" s="70">
        <v>0.6</v>
      </c>
      <c r="Q13" s="70">
        <v>0.61497326203208502</v>
      </c>
      <c r="R13" s="70"/>
      <c r="S13" s="70"/>
      <c r="T13" s="70">
        <v>0.60762939999999999</v>
      </c>
      <c r="U13" s="70">
        <v>0.2152982500001</v>
      </c>
      <c r="V13" s="70">
        <v>0.61497326200000002</v>
      </c>
      <c r="W13" s="70">
        <v>0.6</v>
      </c>
      <c r="X13" s="70"/>
      <c r="Y13" s="70"/>
      <c r="Z13" s="79">
        <f>_xlfn.XLOOKUP(ExpPlan[[#This Row],[Dataset (.h5)]],Andeler[Datasett (.h5)],Andeler[total]," ")</f>
        <v>1468</v>
      </c>
      <c r="AA13" s="80">
        <f>IFERROR(_xlfn.XLOOKUP(ExpPlan[[#This Row],[Dataset (.h5)]],Andeler[Datasett (.h5)],Andeler[Normale]," ")/ExpPlan[[#This Row],[Number of samples]]," ")</f>
        <v>0.50272479564032702</v>
      </c>
      <c r="AB13" s="80">
        <f>IFERROR(_xlfn.XLOOKUP(ExpPlan[[#This Row],[Dataset (.h5)]],Andeler[Datasett (.h5)],Andeler[1 artrose]," ")/ExpPlan[[#This Row],[Number of samples]]," ")</f>
        <v>0.20027247956403268</v>
      </c>
      <c r="AC13" s="80">
        <f>IFERROR(_xlfn.XLOOKUP(ExpPlan[[#This Row],[Dataset (.h5)]],Andeler[Datasett (.h5)],Andeler[1 sklerose]," ")/ExpPlan[[#This Row],[Number of samples]]," ")</f>
        <v>4.2915531335149866E-2</v>
      </c>
      <c r="AD13" s="80">
        <f>IFERROR(_xlfn.XLOOKUP(ExpPlan[[#This Row],[Dataset (.h5)]],Andeler[Datasett (.h5)],Andeler[2 artrose]," ")/ExpPlan[[#This Row],[Number of samples]]," ")</f>
        <v>8.7874659400544966E-2</v>
      </c>
      <c r="AE13" s="80">
        <f>IFERROR(_xlfn.XLOOKUP(ExpPlan[[#This Row],[Dataset (.h5)]],Andeler[Datasett (.h5)],Andeler[2 PL]," ")/ExpPlan[[#This Row],[Number of samples]]," ")</f>
        <v>4.9727520435967301E-2</v>
      </c>
      <c r="AF13" s="80">
        <f>IFERROR(_xlfn.XLOOKUP(ExpPlan[[#This Row],[Dataset (.h5)]],Andeler[Datasett (.h5)],Andeler[3 artrose]," ")/ExpPlan[[#This Row],[Number of samples]]," ")</f>
        <v>3.2697547683923703E-2</v>
      </c>
      <c r="AG13" s="80">
        <f>IFERROR(_xlfn.XLOOKUP(ExpPlan[[#This Row],[Dataset (.h5)]],Andeler[Datasett (.h5)],Andeler[3 MCD]," ")/ExpPlan[[#This Row],[Number of samples]]," ")</f>
        <v>7.0163487738419614E-2</v>
      </c>
      <c r="AH13" s="80">
        <f>IFERROR(_xlfn.XLOOKUP(ExpPlan[[#This Row],[Dataset (.h5)]],Andeler[Datasett (.h5)],Andeler[3 OCD]," ")/ExpPlan[[#This Row],[Number of samples]]," ")</f>
        <v>7.4931880108991822E-3</v>
      </c>
      <c r="AI13" s="80">
        <f>IFERROR(_xlfn.XLOOKUP(ExpPlan[[#This Row],[Dataset (.h5)]],Andeler[Datasett (.h5)],Andeler[3 UAP]," ")/ExpPlan[[#This Row],[Number of samples]]," ")</f>
        <v>6.1307901907356951E-3</v>
      </c>
      <c r="AJ13" s="71">
        <f>SUM(ExpPlan[[#This Row],[1 artrose]:[3 UAP]])</f>
        <v>0.49727520435967298</v>
      </c>
    </row>
    <row r="14" spans="2:38" ht="32" outlineLevel="1">
      <c r="B14" s="72">
        <v>11679281</v>
      </c>
      <c r="C14" s="73" t="s">
        <v>53</v>
      </c>
      <c r="D14" s="72" t="s">
        <v>24</v>
      </c>
      <c r="E14" s="74" t="str">
        <f>_xlfn.TEXTJOIN("_",TRUE,ExpPlan[[#This Row],[Complexity]],ExpPlan[[#This Row],[Dataset (.h5)]],ExpPlan[[#This Row],[Learning rate]])</f>
        <v>B3_normal_abnormal20_0.005</v>
      </c>
      <c r="F14" s="74"/>
      <c r="G14" s="72">
        <f>_xlfn.XLOOKUP(ExpPlan[[#This Row],[Dataset (.h5)]],Andeler[Datasett (.h5)],Andeler[resize_shape]," ")</f>
        <v>800</v>
      </c>
      <c r="H14" s="72" t="s">
        <v>30</v>
      </c>
      <c r="I14" s="74">
        <v>5.0000000000000001E-3</v>
      </c>
      <c r="J14" s="72" t="s">
        <v>42</v>
      </c>
      <c r="K14" s="75"/>
      <c r="L14" s="81"/>
      <c r="M14" s="72">
        <v>50</v>
      </c>
      <c r="N14" s="76"/>
      <c r="O14" s="76"/>
      <c r="P14" s="76"/>
      <c r="Q14" s="76"/>
      <c r="R14" s="76"/>
      <c r="S14" s="76"/>
      <c r="T14" s="76"/>
      <c r="U14" s="76"/>
      <c r="V14" s="76"/>
      <c r="W14" s="76"/>
      <c r="X14" s="76"/>
      <c r="Y14" s="76"/>
      <c r="Z14" s="82">
        <f>_xlfn.XLOOKUP(ExpPlan[[#This Row],[Dataset (.h5)]],Andeler[Datasett (.h5)],Andeler[total]," ")</f>
        <v>1468</v>
      </c>
      <c r="AA14" s="77">
        <f>IFERROR(_xlfn.XLOOKUP(ExpPlan[[#This Row],[Dataset (.h5)]],Andeler[Datasett (.h5)],Andeler[Normale]," ")/ExpPlan[[#This Row],[Number of samples]]," ")</f>
        <v>0.50272479564032702</v>
      </c>
      <c r="AB14" s="77">
        <f>IFERROR(_xlfn.XLOOKUP(ExpPlan[[#This Row],[Dataset (.h5)]],Andeler[Datasett (.h5)],Andeler[1 artrose]," ")/ExpPlan[[#This Row],[Number of samples]]," ")</f>
        <v>0.20027247956403268</v>
      </c>
      <c r="AC14" s="77">
        <f>IFERROR(_xlfn.XLOOKUP(ExpPlan[[#This Row],[Dataset (.h5)]],Andeler[Datasett (.h5)],Andeler[1 sklerose]," ")/ExpPlan[[#This Row],[Number of samples]]," ")</f>
        <v>4.2915531335149866E-2</v>
      </c>
      <c r="AD14" s="77">
        <f>IFERROR(_xlfn.XLOOKUP(ExpPlan[[#This Row],[Dataset (.h5)]],Andeler[Datasett (.h5)],Andeler[2 artrose]," ")/ExpPlan[[#This Row],[Number of samples]]," ")</f>
        <v>8.7874659400544966E-2</v>
      </c>
      <c r="AE14" s="77">
        <f>IFERROR(_xlfn.XLOOKUP(ExpPlan[[#This Row],[Dataset (.h5)]],Andeler[Datasett (.h5)],Andeler[2 PL]," ")/ExpPlan[[#This Row],[Number of samples]]," ")</f>
        <v>4.9727520435967301E-2</v>
      </c>
      <c r="AF14" s="77">
        <f>IFERROR(_xlfn.XLOOKUP(ExpPlan[[#This Row],[Dataset (.h5)]],Andeler[Datasett (.h5)],Andeler[3 artrose]," ")/ExpPlan[[#This Row],[Number of samples]]," ")</f>
        <v>3.2697547683923703E-2</v>
      </c>
      <c r="AG14" s="77">
        <f>IFERROR(_xlfn.XLOOKUP(ExpPlan[[#This Row],[Dataset (.h5)]],Andeler[Datasett (.h5)],Andeler[3 MCD]," ")/ExpPlan[[#This Row],[Number of samples]]," ")</f>
        <v>7.0163487738419614E-2</v>
      </c>
      <c r="AH14" s="77">
        <f>IFERROR(_xlfn.XLOOKUP(ExpPlan[[#This Row],[Dataset (.h5)]],Andeler[Datasett (.h5)],Andeler[3 OCD]," ")/ExpPlan[[#This Row],[Number of samples]]," ")</f>
        <v>7.4931880108991822E-3</v>
      </c>
      <c r="AI14" s="77">
        <f>IFERROR(_xlfn.XLOOKUP(ExpPlan[[#This Row],[Dataset (.h5)]],Andeler[Datasett (.h5)],Andeler[3 UAP]," ")/ExpPlan[[#This Row],[Number of samples]]," ")</f>
        <v>6.1307901907356951E-3</v>
      </c>
      <c r="AJ14" s="77">
        <f>SUM(ExpPlan[[#This Row],[1 artrose]:[3 UAP]])</f>
        <v>0.49727520435967298</v>
      </c>
    </row>
    <row r="15" spans="2:38" ht="48" outlineLevel="1">
      <c r="B15" s="83">
        <v>11679283</v>
      </c>
      <c r="C15" s="84" t="s">
        <v>51</v>
      </c>
      <c r="D15" s="83" t="s">
        <v>24</v>
      </c>
      <c r="E15" s="83" t="str">
        <f>_xlfn.TEXTJOIN("_",TRUE,ExpPlan[[#This Row],[Complexity]],ExpPlan[[#This Row],[Dataset (.h5)]],ExpPlan[[#This Row],[Learning rate]])</f>
        <v>B3_normal_abnormal20_0.005</v>
      </c>
      <c r="F15" s="83"/>
      <c r="G15" s="83">
        <f>_xlfn.XLOOKUP(ExpPlan[[#This Row],[Dataset (.h5)]],Andeler[Datasett (.h5)],Andeler[resize_shape]," ")</f>
        <v>800</v>
      </c>
      <c r="H15" s="83" t="s">
        <v>30</v>
      </c>
      <c r="I15" s="83">
        <v>5.0000000000000001E-3</v>
      </c>
      <c r="J15" s="83" t="s">
        <v>42</v>
      </c>
      <c r="K15" s="85"/>
      <c r="L15" s="84"/>
      <c r="M15" s="83" t="s">
        <v>41</v>
      </c>
      <c r="N15" s="86">
        <v>0.51226157000000005</v>
      </c>
      <c r="O15" s="86">
        <v>4.3233687786856399E-2</v>
      </c>
      <c r="P15" s="86">
        <v>0.65904761904761899</v>
      </c>
      <c r="Q15" s="86"/>
      <c r="R15" s="86"/>
      <c r="S15" s="86"/>
      <c r="T15" s="86"/>
      <c r="U15" s="86"/>
      <c r="V15" s="86"/>
      <c r="W15" s="86"/>
      <c r="X15" s="86"/>
      <c r="Y15" s="86"/>
      <c r="Z15" s="83">
        <f>_xlfn.XLOOKUP(ExpPlan[[#This Row],[Dataset (.h5)]],Andeler[Datasett (.h5)],Andeler[total]," ")</f>
        <v>1468</v>
      </c>
      <c r="AA15" s="80">
        <f>IFERROR(_xlfn.XLOOKUP(ExpPlan[[#This Row],[Dataset (.h5)]],Andeler[Datasett (.h5)],Andeler[Normale]," ")/ExpPlan[[#This Row],[Number of samples]]," ")</f>
        <v>0.50272479564032702</v>
      </c>
      <c r="AB15" s="80">
        <f>IFERROR(_xlfn.XLOOKUP(ExpPlan[[#This Row],[Dataset (.h5)]],Andeler[Datasett (.h5)],Andeler[1 artrose]," ")/ExpPlan[[#This Row],[Number of samples]]," ")</f>
        <v>0.20027247956403268</v>
      </c>
      <c r="AC15" s="80">
        <f>IFERROR(_xlfn.XLOOKUP(ExpPlan[[#This Row],[Dataset (.h5)]],Andeler[Datasett (.h5)],Andeler[1 sklerose]," ")/ExpPlan[[#This Row],[Number of samples]]," ")</f>
        <v>4.2915531335149866E-2</v>
      </c>
      <c r="AD15" s="80">
        <f>IFERROR(_xlfn.XLOOKUP(ExpPlan[[#This Row],[Dataset (.h5)]],Andeler[Datasett (.h5)],Andeler[2 artrose]," ")/ExpPlan[[#This Row],[Number of samples]]," ")</f>
        <v>8.7874659400544966E-2</v>
      </c>
      <c r="AE15" s="80">
        <f>IFERROR(_xlfn.XLOOKUP(ExpPlan[[#This Row],[Dataset (.h5)]],Andeler[Datasett (.h5)],Andeler[2 PL]," ")/ExpPlan[[#This Row],[Number of samples]]," ")</f>
        <v>4.9727520435967301E-2</v>
      </c>
      <c r="AF15" s="80">
        <f>IFERROR(_xlfn.XLOOKUP(ExpPlan[[#This Row],[Dataset (.h5)]],Andeler[Datasett (.h5)],Andeler[3 artrose]," ")/ExpPlan[[#This Row],[Number of samples]]," ")</f>
        <v>3.2697547683923703E-2</v>
      </c>
      <c r="AG15" s="80">
        <f>IFERROR(_xlfn.XLOOKUP(ExpPlan[[#This Row],[Dataset (.h5)]],Andeler[Datasett (.h5)],Andeler[3 MCD]," ")/ExpPlan[[#This Row],[Number of samples]]," ")</f>
        <v>7.0163487738419614E-2</v>
      </c>
      <c r="AH15" s="80">
        <f>IFERROR(_xlfn.XLOOKUP(ExpPlan[[#This Row],[Dataset (.h5)]],Andeler[Datasett (.h5)],Andeler[3 OCD]," ")/ExpPlan[[#This Row],[Number of samples]]," ")</f>
        <v>7.4931880108991822E-3</v>
      </c>
      <c r="AI15" s="80">
        <f>IFERROR(_xlfn.XLOOKUP(ExpPlan[[#This Row],[Dataset (.h5)]],Andeler[Datasett (.h5)],Andeler[3 UAP]," ")/ExpPlan[[#This Row],[Number of samples]]," ")</f>
        <v>6.1307901907356951E-3</v>
      </c>
      <c r="AJ15" s="83">
        <f>SUM(ExpPlan[[#This Row],[1 artrose]:[3 UAP]])</f>
        <v>0.49727520435967298</v>
      </c>
    </row>
    <row r="16" spans="2:38" ht="16" outlineLevel="1">
      <c r="B16" s="72">
        <v>11679284</v>
      </c>
      <c r="C16" s="73" t="s">
        <v>54</v>
      </c>
      <c r="D16" s="72" t="s">
        <v>24</v>
      </c>
      <c r="E16" s="74" t="str">
        <f>_xlfn.TEXTJOIN("_",TRUE,ExpPlan[[#This Row],[Complexity]],ExpPlan[[#This Row],[Dataset (.h5)]],ExpPlan[[#This Row],[Learning rate]])</f>
        <v>B2_normal_abnormal20_0.001</v>
      </c>
      <c r="F16" s="74"/>
      <c r="G16" s="72">
        <f>_xlfn.XLOOKUP(ExpPlan[[#This Row],[Dataset (.h5)]],Andeler[Datasett (.h5)],Andeler[resize_shape]," ")</f>
        <v>800</v>
      </c>
      <c r="H16" s="72" t="s">
        <v>25</v>
      </c>
      <c r="I16" s="74">
        <v>1E-3</v>
      </c>
      <c r="J16" s="72" t="s">
        <v>26</v>
      </c>
      <c r="K16" s="75"/>
      <c r="L16" s="81"/>
      <c r="M16" s="72">
        <v>50</v>
      </c>
      <c r="N16" s="76"/>
      <c r="O16" s="76"/>
      <c r="P16" s="76"/>
      <c r="Q16" s="76"/>
      <c r="R16" s="76"/>
      <c r="S16" s="76"/>
      <c r="T16" s="76"/>
      <c r="U16" s="76"/>
      <c r="V16" s="76"/>
      <c r="W16" s="76"/>
      <c r="X16" s="76"/>
      <c r="Y16" s="76"/>
      <c r="Z16" s="82">
        <f>_xlfn.XLOOKUP(ExpPlan[[#This Row],[Dataset (.h5)]],Andeler[Datasett (.h5)],Andeler[total]," ")</f>
        <v>1468</v>
      </c>
      <c r="AA16" s="77">
        <f>IFERROR(_xlfn.XLOOKUP(ExpPlan[[#This Row],[Dataset (.h5)]],Andeler[Datasett (.h5)],Andeler[Normale]," ")/ExpPlan[[#This Row],[Number of samples]]," ")</f>
        <v>0.50272479564032702</v>
      </c>
      <c r="AB16" s="77">
        <f>IFERROR(_xlfn.XLOOKUP(ExpPlan[[#This Row],[Dataset (.h5)]],Andeler[Datasett (.h5)],Andeler[1 artrose]," ")/ExpPlan[[#This Row],[Number of samples]]," ")</f>
        <v>0.20027247956403268</v>
      </c>
      <c r="AC16" s="77">
        <f>IFERROR(_xlfn.XLOOKUP(ExpPlan[[#This Row],[Dataset (.h5)]],Andeler[Datasett (.h5)],Andeler[1 sklerose]," ")/ExpPlan[[#This Row],[Number of samples]]," ")</f>
        <v>4.2915531335149866E-2</v>
      </c>
      <c r="AD16" s="77">
        <f>IFERROR(_xlfn.XLOOKUP(ExpPlan[[#This Row],[Dataset (.h5)]],Andeler[Datasett (.h5)],Andeler[2 artrose]," ")/ExpPlan[[#This Row],[Number of samples]]," ")</f>
        <v>8.7874659400544966E-2</v>
      </c>
      <c r="AE16" s="77">
        <f>IFERROR(_xlfn.XLOOKUP(ExpPlan[[#This Row],[Dataset (.h5)]],Andeler[Datasett (.h5)],Andeler[2 PL]," ")/ExpPlan[[#This Row],[Number of samples]]," ")</f>
        <v>4.9727520435967301E-2</v>
      </c>
      <c r="AF16" s="77">
        <f>IFERROR(_xlfn.XLOOKUP(ExpPlan[[#This Row],[Dataset (.h5)]],Andeler[Datasett (.h5)],Andeler[3 artrose]," ")/ExpPlan[[#This Row],[Number of samples]]," ")</f>
        <v>3.2697547683923703E-2</v>
      </c>
      <c r="AG16" s="77">
        <f>IFERROR(_xlfn.XLOOKUP(ExpPlan[[#This Row],[Dataset (.h5)]],Andeler[Datasett (.h5)],Andeler[3 MCD]," ")/ExpPlan[[#This Row],[Number of samples]]," ")</f>
        <v>7.0163487738419614E-2</v>
      </c>
      <c r="AH16" s="77">
        <f>IFERROR(_xlfn.XLOOKUP(ExpPlan[[#This Row],[Dataset (.h5)]],Andeler[Datasett (.h5)],Andeler[3 OCD]," ")/ExpPlan[[#This Row],[Number of samples]]," ")</f>
        <v>7.4931880108991822E-3</v>
      </c>
      <c r="AI16" s="77">
        <f>IFERROR(_xlfn.XLOOKUP(ExpPlan[[#This Row],[Dataset (.h5)]],Andeler[Datasett (.h5)],Andeler[3 UAP]," ")/ExpPlan[[#This Row],[Number of samples]]," ")</f>
        <v>6.1307901907356951E-3</v>
      </c>
      <c r="AJ16" s="77">
        <f>SUM(ExpPlan[[#This Row],[1 artrose]:[3 UAP]])</f>
        <v>0.49727520435967298</v>
      </c>
    </row>
    <row r="17" spans="2:36" ht="16" outlineLevel="1">
      <c r="B17" s="72">
        <v>11679286</v>
      </c>
      <c r="C17" s="73" t="s">
        <v>55</v>
      </c>
      <c r="D17" s="72" t="s">
        <v>24</v>
      </c>
      <c r="E17" s="74" t="str">
        <f>_xlfn.TEXTJOIN("_",TRUE,ExpPlan[[#This Row],[Complexity]],ExpPlan[[#This Row],[Dataset (.h5)]],ExpPlan[[#This Row],[Learning rate]])</f>
        <v>B2_normal_abnormal20_0.001</v>
      </c>
      <c r="F17" s="74"/>
      <c r="G17" s="72">
        <f>_xlfn.XLOOKUP(ExpPlan[[#This Row],[Dataset (.h5)]],Andeler[Datasett (.h5)],Andeler[resize_shape]," ")</f>
        <v>800</v>
      </c>
      <c r="H17" s="72" t="s">
        <v>25</v>
      </c>
      <c r="I17" s="74">
        <v>1E-3</v>
      </c>
      <c r="J17" s="72" t="s">
        <v>26</v>
      </c>
      <c r="K17" s="75"/>
      <c r="L17" s="81"/>
      <c r="M17" s="72">
        <v>50</v>
      </c>
      <c r="N17" s="76"/>
      <c r="O17" s="76"/>
      <c r="P17" s="76"/>
      <c r="Q17" s="76"/>
      <c r="R17" s="76"/>
      <c r="S17" s="76"/>
      <c r="T17" s="76"/>
      <c r="U17" s="76"/>
      <c r="V17" s="76"/>
      <c r="W17" s="76"/>
      <c r="X17" s="76"/>
      <c r="Y17" s="76"/>
      <c r="Z17" s="82">
        <f>_xlfn.XLOOKUP(ExpPlan[[#This Row],[Dataset (.h5)]],Andeler[Datasett (.h5)],Andeler[total]," ")</f>
        <v>1468</v>
      </c>
      <c r="AA17" s="77">
        <f>IFERROR(_xlfn.XLOOKUP(ExpPlan[[#This Row],[Dataset (.h5)]],Andeler[Datasett (.h5)],Andeler[Normale]," ")/ExpPlan[[#This Row],[Number of samples]]," ")</f>
        <v>0.50272479564032702</v>
      </c>
      <c r="AB17" s="77">
        <f>IFERROR(_xlfn.XLOOKUP(ExpPlan[[#This Row],[Dataset (.h5)]],Andeler[Datasett (.h5)],Andeler[1 artrose]," ")/ExpPlan[[#This Row],[Number of samples]]," ")</f>
        <v>0.20027247956403268</v>
      </c>
      <c r="AC17" s="77">
        <f>IFERROR(_xlfn.XLOOKUP(ExpPlan[[#This Row],[Dataset (.h5)]],Andeler[Datasett (.h5)],Andeler[1 sklerose]," ")/ExpPlan[[#This Row],[Number of samples]]," ")</f>
        <v>4.2915531335149866E-2</v>
      </c>
      <c r="AD17" s="77">
        <f>IFERROR(_xlfn.XLOOKUP(ExpPlan[[#This Row],[Dataset (.h5)]],Andeler[Datasett (.h5)],Andeler[2 artrose]," ")/ExpPlan[[#This Row],[Number of samples]]," ")</f>
        <v>8.7874659400544966E-2</v>
      </c>
      <c r="AE17" s="77">
        <f>IFERROR(_xlfn.XLOOKUP(ExpPlan[[#This Row],[Dataset (.h5)]],Andeler[Datasett (.h5)],Andeler[2 PL]," ")/ExpPlan[[#This Row],[Number of samples]]," ")</f>
        <v>4.9727520435967301E-2</v>
      </c>
      <c r="AF17" s="77">
        <f>IFERROR(_xlfn.XLOOKUP(ExpPlan[[#This Row],[Dataset (.h5)]],Andeler[Datasett (.h5)],Andeler[3 artrose]," ")/ExpPlan[[#This Row],[Number of samples]]," ")</f>
        <v>3.2697547683923703E-2</v>
      </c>
      <c r="AG17" s="77">
        <f>IFERROR(_xlfn.XLOOKUP(ExpPlan[[#This Row],[Dataset (.h5)]],Andeler[Datasett (.h5)],Andeler[3 MCD]," ")/ExpPlan[[#This Row],[Number of samples]]," ")</f>
        <v>7.0163487738419614E-2</v>
      </c>
      <c r="AH17" s="77">
        <f>IFERROR(_xlfn.XLOOKUP(ExpPlan[[#This Row],[Dataset (.h5)]],Andeler[Datasett (.h5)],Andeler[3 OCD]," ")/ExpPlan[[#This Row],[Number of samples]]," ")</f>
        <v>7.4931880108991822E-3</v>
      </c>
      <c r="AI17" s="77">
        <f>IFERROR(_xlfn.XLOOKUP(ExpPlan[[#This Row],[Dataset (.h5)]],Andeler[Datasett (.h5)],Andeler[3 UAP]," ")/ExpPlan[[#This Row],[Number of samples]]," ")</f>
        <v>6.1307901907356951E-3</v>
      </c>
      <c r="AJ17" s="77">
        <f>SUM(ExpPlan[[#This Row],[1 artrose]:[3 UAP]])</f>
        <v>0.49727520435967298</v>
      </c>
    </row>
    <row r="18" spans="2:36" ht="16" outlineLevel="1">
      <c r="B18" s="72">
        <v>11679288</v>
      </c>
      <c r="C18" s="73" t="s">
        <v>55</v>
      </c>
      <c r="D18" s="72" t="s">
        <v>24</v>
      </c>
      <c r="E18" s="74" t="str">
        <f>_xlfn.TEXTJOIN("_",TRUE,ExpPlan[[#This Row],[Complexity]],ExpPlan[[#This Row],[Dataset (.h5)]],ExpPlan[[#This Row],[Learning rate]])</f>
        <v>B2_normal_abnormal20_0.001</v>
      </c>
      <c r="F18" s="74"/>
      <c r="G18" s="72">
        <f>_xlfn.XLOOKUP(ExpPlan[[#This Row],[Dataset (.h5)]],Andeler[Datasett (.h5)],Andeler[resize_shape]," ")</f>
        <v>800</v>
      </c>
      <c r="H18" s="72" t="s">
        <v>25</v>
      </c>
      <c r="I18" s="74">
        <v>1E-3</v>
      </c>
      <c r="J18" s="72" t="s">
        <v>26</v>
      </c>
      <c r="K18" s="75"/>
      <c r="L18" s="81"/>
      <c r="M18" s="72">
        <v>50</v>
      </c>
      <c r="N18" s="76"/>
      <c r="O18" s="76"/>
      <c r="P18" s="76"/>
      <c r="Q18" s="76"/>
      <c r="R18" s="76"/>
      <c r="S18" s="76"/>
      <c r="T18" s="76"/>
      <c r="U18" s="76"/>
      <c r="V18" s="76"/>
      <c r="W18" s="76"/>
      <c r="X18" s="76"/>
      <c r="Y18" s="76"/>
      <c r="Z18" s="82">
        <f>_xlfn.XLOOKUP(ExpPlan[[#This Row],[Dataset (.h5)]],Andeler[Datasett (.h5)],Andeler[total]," ")</f>
        <v>1468</v>
      </c>
      <c r="AA18" s="77">
        <f>IFERROR(_xlfn.XLOOKUP(ExpPlan[[#This Row],[Dataset (.h5)]],Andeler[Datasett (.h5)],Andeler[Normale]," ")/ExpPlan[[#This Row],[Number of samples]]," ")</f>
        <v>0.50272479564032702</v>
      </c>
      <c r="AB18" s="77">
        <f>IFERROR(_xlfn.XLOOKUP(ExpPlan[[#This Row],[Dataset (.h5)]],Andeler[Datasett (.h5)],Andeler[1 artrose]," ")/ExpPlan[[#This Row],[Number of samples]]," ")</f>
        <v>0.20027247956403268</v>
      </c>
      <c r="AC18" s="77">
        <f>IFERROR(_xlfn.XLOOKUP(ExpPlan[[#This Row],[Dataset (.h5)]],Andeler[Datasett (.h5)],Andeler[1 sklerose]," ")/ExpPlan[[#This Row],[Number of samples]]," ")</f>
        <v>4.2915531335149866E-2</v>
      </c>
      <c r="AD18" s="77">
        <f>IFERROR(_xlfn.XLOOKUP(ExpPlan[[#This Row],[Dataset (.h5)]],Andeler[Datasett (.h5)],Andeler[2 artrose]," ")/ExpPlan[[#This Row],[Number of samples]]," ")</f>
        <v>8.7874659400544966E-2</v>
      </c>
      <c r="AE18" s="77">
        <f>IFERROR(_xlfn.XLOOKUP(ExpPlan[[#This Row],[Dataset (.h5)]],Andeler[Datasett (.h5)],Andeler[2 PL]," ")/ExpPlan[[#This Row],[Number of samples]]," ")</f>
        <v>4.9727520435967301E-2</v>
      </c>
      <c r="AF18" s="77">
        <f>IFERROR(_xlfn.XLOOKUP(ExpPlan[[#This Row],[Dataset (.h5)]],Andeler[Datasett (.h5)],Andeler[3 artrose]," ")/ExpPlan[[#This Row],[Number of samples]]," ")</f>
        <v>3.2697547683923703E-2</v>
      </c>
      <c r="AG18" s="77">
        <f>IFERROR(_xlfn.XLOOKUP(ExpPlan[[#This Row],[Dataset (.h5)]],Andeler[Datasett (.h5)],Andeler[3 MCD]," ")/ExpPlan[[#This Row],[Number of samples]]," ")</f>
        <v>7.0163487738419614E-2</v>
      </c>
      <c r="AH18" s="77">
        <f>IFERROR(_xlfn.XLOOKUP(ExpPlan[[#This Row],[Dataset (.h5)]],Andeler[Datasett (.h5)],Andeler[3 OCD]," ")/ExpPlan[[#This Row],[Number of samples]]," ")</f>
        <v>7.4931880108991822E-3</v>
      </c>
      <c r="AI18" s="77">
        <f>IFERROR(_xlfn.XLOOKUP(ExpPlan[[#This Row],[Dataset (.h5)]],Andeler[Datasett (.h5)],Andeler[3 UAP]," ")/ExpPlan[[#This Row],[Number of samples]]," ")</f>
        <v>6.1307901907356951E-3</v>
      </c>
      <c r="AJ18" s="77">
        <f>SUM(ExpPlan[[#This Row],[1 artrose]:[3 UAP]])</f>
        <v>0.49727520435967298</v>
      </c>
    </row>
    <row r="19" spans="2:36" ht="16" outlineLevel="1">
      <c r="B19" s="72">
        <v>11679290</v>
      </c>
      <c r="C19" s="73" t="s">
        <v>55</v>
      </c>
      <c r="D19" s="72" t="s">
        <v>24</v>
      </c>
      <c r="E19" s="74" t="str">
        <f>_xlfn.TEXTJOIN("_",TRUE,ExpPlan[[#This Row],[Complexity]],ExpPlan[[#This Row],[Dataset (.h5)]],ExpPlan[[#This Row],[Learning rate]])</f>
        <v>B2_normal_abnormal20_0.001</v>
      </c>
      <c r="F19" s="74"/>
      <c r="G19" s="72">
        <f>_xlfn.XLOOKUP(ExpPlan[[#This Row],[Dataset (.h5)]],Andeler[Datasett (.h5)],Andeler[resize_shape]," ")</f>
        <v>800</v>
      </c>
      <c r="H19" s="72" t="s">
        <v>25</v>
      </c>
      <c r="I19" s="74">
        <v>1E-3</v>
      </c>
      <c r="J19" s="72" t="s">
        <v>26</v>
      </c>
      <c r="K19" s="75"/>
      <c r="L19" s="81"/>
      <c r="M19" s="72">
        <v>50</v>
      </c>
      <c r="N19" s="76"/>
      <c r="O19" s="76"/>
      <c r="P19" s="76"/>
      <c r="Q19" s="76"/>
      <c r="R19" s="76"/>
      <c r="S19" s="76"/>
      <c r="T19" s="76"/>
      <c r="U19" s="76"/>
      <c r="V19" s="76"/>
      <c r="W19" s="76"/>
      <c r="X19" s="76"/>
      <c r="Y19" s="76"/>
      <c r="Z19" s="82">
        <f>_xlfn.XLOOKUP(ExpPlan[[#This Row],[Dataset (.h5)]],Andeler[Datasett (.h5)],Andeler[total]," ")</f>
        <v>1468</v>
      </c>
      <c r="AA19" s="77">
        <f>IFERROR(_xlfn.XLOOKUP(ExpPlan[[#This Row],[Dataset (.h5)]],Andeler[Datasett (.h5)],Andeler[Normale]," ")/ExpPlan[[#This Row],[Number of samples]]," ")</f>
        <v>0.50272479564032702</v>
      </c>
      <c r="AB19" s="77">
        <f>IFERROR(_xlfn.XLOOKUP(ExpPlan[[#This Row],[Dataset (.h5)]],Andeler[Datasett (.h5)],Andeler[1 artrose]," ")/ExpPlan[[#This Row],[Number of samples]]," ")</f>
        <v>0.20027247956403268</v>
      </c>
      <c r="AC19" s="77">
        <f>IFERROR(_xlfn.XLOOKUP(ExpPlan[[#This Row],[Dataset (.h5)]],Andeler[Datasett (.h5)],Andeler[1 sklerose]," ")/ExpPlan[[#This Row],[Number of samples]]," ")</f>
        <v>4.2915531335149866E-2</v>
      </c>
      <c r="AD19" s="77">
        <f>IFERROR(_xlfn.XLOOKUP(ExpPlan[[#This Row],[Dataset (.h5)]],Andeler[Datasett (.h5)],Andeler[2 artrose]," ")/ExpPlan[[#This Row],[Number of samples]]," ")</f>
        <v>8.7874659400544966E-2</v>
      </c>
      <c r="AE19" s="77">
        <f>IFERROR(_xlfn.XLOOKUP(ExpPlan[[#This Row],[Dataset (.h5)]],Andeler[Datasett (.h5)],Andeler[2 PL]," ")/ExpPlan[[#This Row],[Number of samples]]," ")</f>
        <v>4.9727520435967301E-2</v>
      </c>
      <c r="AF19" s="77">
        <f>IFERROR(_xlfn.XLOOKUP(ExpPlan[[#This Row],[Dataset (.h5)]],Andeler[Datasett (.h5)],Andeler[3 artrose]," ")/ExpPlan[[#This Row],[Number of samples]]," ")</f>
        <v>3.2697547683923703E-2</v>
      </c>
      <c r="AG19" s="77">
        <f>IFERROR(_xlfn.XLOOKUP(ExpPlan[[#This Row],[Dataset (.h5)]],Andeler[Datasett (.h5)],Andeler[3 MCD]," ")/ExpPlan[[#This Row],[Number of samples]]," ")</f>
        <v>7.0163487738419614E-2</v>
      </c>
      <c r="AH19" s="77">
        <f>IFERROR(_xlfn.XLOOKUP(ExpPlan[[#This Row],[Dataset (.h5)]],Andeler[Datasett (.h5)],Andeler[3 OCD]," ")/ExpPlan[[#This Row],[Number of samples]]," ")</f>
        <v>7.4931880108991822E-3</v>
      </c>
      <c r="AI19" s="77">
        <f>IFERROR(_xlfn.XLOOKUP(ExpPlan[[#This Row],[Dataset (.h5)]],Andeler[Datasett (.h5)],Andeler[3 UAP]," ")/ExpPlan[[#This Row],[Number of samples]]," ")</f>
        <v>6.1307901907356951E-3</v>
      </c>
      <c r="AJ19" s="77">
        <f>SUM(ExpPlan[[#This Row],[1 artrose]:[3 UAP]])</f>
        <v>0.49727520435967298</v>
      </c>
    </row>
    <row r="20" spans="2:36" ht="48" outlineLevel="1">
      <c r="B20" s="66">
        <v>11679299</v>
      </c>
      <c r="C20" s="67" t="s">
        <v>23</v>
      </c>
      <c r="D20" s="66" t="s">
        <v>24</v>
      </c>
      <c r="E20" s="78" t="str">
        <f>_xlfn.TEXTJOIN("_",TRUE,ExpPlan[[#This Row],[Complexity]],ExpPlan[[#This Row],[Dataset (.h5)]],ExpPlan[[#This Row],[Learning rate]])</f>
        <v>B2_normal_abnormal20_0.001</v>
      </c>
      <c r="F20" s="78"/>
      <c r="G20" s="66">
        <f>_xlfn.XLOOKUP(ExpPlan[[#This Row],[Dataset (.h5)]],Andeler[Datasett (.h5)],Andeler[resize_shape]," ")</f>
        <v>800</v>
      </c>
      <c r="H20" s="66" t="s">
        <v>25</v>
      </c>
      <c r="I20" s="66">
        <v>1E-3</v>
      </c>
      <c r="J20" s="66" t="s">
        <v>26</v>
      </c>
      <c r="K20" s="68"/>
      <c r="L20" s="78"/>
      <c r="M20" s="66" t="s">
        <v>27</v>
      </c>
      <c r="N20" s="69">
        <v>0.92098093000000003</v>
      </c>
      <c r="O20" s="70">
        <v>0.84197552862912795</v>
      </c>
      <c r="P20" s="70">
        <v>0.92098092643051699</v>
      </c>
      <c r="Q20" s="70">
        <v>0.92098092643051699</v>
      </c>
      <c r="R20" s="70">
        <v>0.95476954999999997</v>
      </c>
      <c r="S20" s="70">
        <v>0.956848420052269</v>
      </c>
      <c r="T20" s="70">
        <v>0.92915530000000002</v>
      </c>
      <c r="U20" s="70">
        <v>0.85875622201560697</v>
      </c>
      <c r="V20" s="70">
        <v>0.93048128342245895</v>
      </c>
      <c r="W20" s="70">
        <v>0.92777777777777704</v>
      </c>
      <c r="X20" s="70">
        <v>0.96473335999999998</v>
      </c>
      <c r="Y20" s="70">
        <v>0.97830541696364903</v>
      </c>
      <c r="Z20" s="79">
        <f>_xlfn.XLOOKUP(ExpPlan[[#This Row],[Dataset (.h5)]],Andeler[Datasett (.h5)],Andeler[total]," ")</f>
        <v>1468</v>
      </c>
      <c r="AA20" s="71">
        <f>IFERROR(_xlfn.XLOOKUP(ExpPlan[[#This Row],[Dataset (.h5)]],Andeler[Datasett (.h5)],Andeler[Normale]," ")/ExpPlan[[#This Row],[Number of samples]]," ")</f>
        <v>0.50272479564032702</v>
      </c>
      <c r="AB20" s="71">
        <f>IFERROR(_xlfn.XLOOKUP(ExpPlan[[#This Row],[Dataset (.h5)]],Andeler[Datasett (.h5)],Andeler[1 artrose]," ")/ExpPlan[[#This Row],[Number of samples]]," ")</f>
        <v>0.20027247956403268</v>
      </c>
      <c r="AC20" s="71">
        <f>IFERROR(_xlfn.XLOOKUP(ExpPlan[[#This Row],[Dataset (.h5)]],Andeler[Datasett (.h5)],Andeler[1 sklerose]," ")/ExpPlan[[#This Row],[Number of samples]]," ")</f>
        <v>4.2915531335149866E-2</v>
      </c>
      <c r="AD20" s="71">
        <f>IFERROR(_xlfn.XLOOKUP(ExpPlan[[#This Row],[Dataset (.h5)]],Andeler[Datasett (.h5)],Andeler[2 artrose]," ")/ExpPlan[[#This Row],[Number of samples]]," ")</f>
        <v>8.7874659400544966E-2</v>
      </c>
      <c r="AE20" s="71">
        <f>IFERROR(_xlfn.XLOOKUP(ExpPlan[[#This Row],[Dataset (.h5)]],Andeler[Datasett (.h5)],Andeler[2 PL]," ")/ExpPlan[[#This Row],[Number of samples]]," ")</f>
        <v>4.9727520435967301E-2</v>
      </c>
      <c r="AF20" s="71">
        <f>IFERROR(_xlfn.XLOOKUP(ExpPlan[[#This Row],[Dataset (.h5)]],Andeler[Datasett (.h5)],Andeler[3 artrose]," ")/ExpPlan[[#This Row],[Number of samples]]," ")</f>
        <v>3.2697547683923703E-2</v>
      </c>
      <c r="AG20" s="71">
        <f>IFERROR(_xlfn.XLOOKUP(ExpPlan[[#This Row],[Dataset (.h5)]],Andeler[Datasett (.h5)],Andeler[3 MCD]," ")/ExpPlan[[#This Row],[Number of samples]]," ")</f>
        <v>7.0163487738419614E-2</v>
      </c>
      <c r="AH20" s="71">
        <f>IFERROR(_xlfn.XLOOKUP(ExpPlan[[#This Row],[Dataset (.h5)]],Andeler[Datasett (.h5)],Andeler[3 OCD]," ")/ExpPlan[[#This Row],[Number of samples]]," ")</f>
        <v>7.4931880108991822E-3</v>
      </c>
      <c r="AI20" s="71">
        <f>IFERROR(_xlfn.XLOOKUP(ExpPlan[[#This Row],[Dataset (.h5)]],Andeler[Datasett (.h5)],Andeler[3 UAP]," ")/ExpPlan[[#This Row],[Number of samples]]," ")</f>
        <v>6.1307901907356951E-3</v>
      </c>
      <c r="AJ20" s="71">
        <f>SUM(ExpPlan[[#This Row],[1 artrose]:[3 UAP]])</f>
        <v>0.49727520435967298</v>
      </c>
    </row>
    <row r="21" spans="2:36" ht="48" outlineLevel="1">
      <c r="B21" s="66">
        <v>11679311</v>
      </c>
      <c r="C21" s="67" t="s">
        <v>46</v>
      </c>
      <c r="D21" s="66" t="s">
        <v>24</v>
      </c>
      <c r="E21" s="66" t="str">
        <f>_xlfn.TEXTJOIN("_",TRUE,ExpPlan[[#This Row],[Complexity]],ExpPlan[[#This Row],[Dataset (.h5)]],ExpPlan[[#This Row],[Learning rate]])</f>
        <v>B3_normal_abnormal20_0.005</v>
      </c>
      <c r="F21" s="66"/>
      <c r="G21" s="66">
        <f>_xlfn.XLOOKUP(ExpPlan[[#This Row],[Dataset (.h5)]],Andeler[Datasett (.h5)],Andeler[resize_shape]," ")</f>
        <v>800</v>
      </c>
      <c r="H21" s="66" t="s">
        <v>30</v>
      </c>
      <c r="I21" s="66">
        <v>5.0000000000000001E-3</v>
      </c>
      <c r="J21" s="66" t="s">
        <v>42</v>
      </c>
      <c r="K21" s="68"/>
      <c r="L21" s="78"/>
      <c r="M21" s="66" t="s">
        <v>47</v>
      </c>
      <c r="N21" s="69">
        <v>0.59128064000000002</v>
      </c>
      <c r="O21" s="70">
        <v>0.182590359737203</v>
      </c>
      <c r="P21" s="70">
        <v>0.59016393442622905</v>
      </c>
      <c r="Q21" s="70"/>
      <c r="R21" s="70"/>
      <c r="S21" s="70"/>
      <c r="T21" s="70"/>
      <c r="U21" s="70"/>
      <c r="V21" s="70"/>
      <c r="W21" s="70"/>
      <c r="X21" s="70"/>
      <c r="Y21" s="70"/>
      <c r="Z21" s="79">
        <f>_xlfn.XLOOKUP(ExpPlan[[#This Row],[Dataset (.h5)]],Andeler[Datasett (.h5)],Andeler[total]," ")</f>
        <v>1468</v>
      </c>
      <c r="AA21" s="71">
        <f>IFERROR(_xlfn.XLOOKUP(ExpPlan[[#This Row],[Dataset (.h5)]],Andeler[Datasett (.h5)],Andeler[Normale]," ")/ExpPlan[[#This Row],[Number of samples]]," ")</f>
        <v>0.50272479564032702</v>
      </c>
      <c r="AB21" s="71">
        <f>IFERROR(_xlfn.XLOOKUP(ExpPlan[[#This Row],[Dataset (.h5)]],Andeler[Datasett (.h5)],Andeler[1 artrose]," ")/ExpPlan[[#This Row],[Number of samples]]," ")</f>
        <v>0.20027247956403268</v>
      </c>
      <c r="AC21" s="71">
        <f>IFERROR(_xlfn.XLOOKUP(ExpPlan[[#This Row],[Dataset (.h5)]],Andeler[Datasett (.h5)],Andeler[1 sklerose]," ")/ExpPlan[[#This Row],[Number of samples]]," ")</f>
        <v>4.2915531335149866E-2</v>
      </c>
      <c r="AD21" s="71">
        <f>IFERROR(_xlfn.XLOOKUP(ExpPlan[[#This Row],[Dataset (.h5)]],Andeler[Datasett (.h5)],Andeler[2 artrose]," ")/ExpPlan[[#This Row],[Number of samples]]," ")</f>
        <v>8.7874659400544966E-2</v>
      </c>
      <c r="AE21" s="71">
        <f>IFERROR(_xlfn.XLOOKUP(ExpPlan[[#This Row],[Dataset (.h5)]],Andeler[Datasett (.h5)],Andeler[2 PL]," ")/ExpPlan[[#This Row],[Number of samples]]," ")</f>
        <v>4.9727520435967301E-2</v>
      </c>
      <c r="AF21" s="71">
        <f>IFERROR(_xlfn.XLOOKUP(ExpPlan[[#This Row],[Dataset (.h5)]],Andeler[Datasett (.h5)],Andeler[3 artrose]," ")/ExpPlan[[#This Row],[Number of samples]]," ")</f>
        <v>3.2697547683923703E-2</v>
      </c>
      <c r="AG21" s="71">
        <f>IFERROR(_xlfn.XLOOKUP(ExpPlan[[#This Row],[Dataset (.h5)]],Andeler[Datasett (.h5)],Andeler[3 MCD]," ")/ExpPlan[[#This Row],[Number of samples]]," ")</f>
        <v>7.0163487738419614E-2</v>
      </c>
      <c r="AH21" s="71">
        <f>IFERROR(_xlfn.XLOOKUP(ExpPlan[[#This Row],[Dataset (.h5)]],Andeler[Datasett (.h5)],Andeler[3 OCD]," ")/ExpPlan[[#This Row],[Number of samples]]," ")</f>
        <v>7.4931880108991822E-3</v>
      </c>
      <c r="AI21" s="71">
        <f>IFERROR(_xlfn.XLOOKUP(ExpPlan[[#This Row],[Dataset (.h5)]],Andeler[Datasett (.h5)],Andeler[3 UAP]," ")/ExpPlan[[#This Row],[Number of samples]]," ")</f>
        <v>6.1307901907356951E-3</v>
      </c>
      <c r="AJ21" s="71">
        <f>SUM(ExpPlan[[#This Row],[1 artrose]:[3 UAP]])</f>
        <v>0.49727520435967298</v>
      </c>
    </row>
    <row r="22" spans="2:36" outlineLevel="1">
      <c r="B22" s="66">
        <v>11679398</v>
      </c>
      <c r="C22" s="67"/>
      <c r="D22" s="66" t="s">
        <v>24</v>
      </c>
      <c r="E22" s="66" t="str">
        <f>_xlfn.TEXTJOIN("_",TRUE,ExpPlan[[#This Row],[Complexity]],ExpPlan[[#This Row],[Dataset (.h5)]],ExpPlan[[#This Row],[Learning rate]])</f>
        <v>B2_normal_abnormal20_0.0001</v>
      </c>
      <c r="F22" s="66"/>
      <c r="G22" s="66">
        <f>_xlfn.XLOOKUP(ExpPlan[[#This Row],[Dataset (.h5)]],Andeler[Datasett (.h5)],Andeler[resize_shape]," ")</f>
        <v>800</v>
      </c>
      <c r="H22" s="66" t="s">
        <v>25</v>
      </c>
      <c r="I22" s="66">
        <v>1E-4</v>
      </c>
      <c r="J22" s="66" t="s">
        <v>26</v>
      </c>
      <c r="K22" s="68"/>
      <c r="L22" s="78"/>
      <c r="M22" s="66" t="s">
        <v>28</v>
      </c>
      <c r="N22" s="69">
        <v>0.90463214999999997</v>
      </c>
      <c r="O22" s="70">
        <v>0.80954935692290997</v>
      </c>
      <c r="P22" s="70">
        <v>0.90616621983914203</v>
      </c>
      <c r="Q22" s="70">
        <v>0.90304709141274198</v>
      </c>
      <c r="R22" s="70"/>
      <c r="S22" s="70"/>
      <c r="T22" s="70">
        <v>0.89918255999999996</v>
      </c>
      <c r="U22" s="70">
        <v>0.79892430473770404</v>
      </c>
      <c r="V22" s="70">
        <v>0.90133333333333299</v>
      </c>
      <c r="W22" s="70">
        <v>0.89693593314763198</v>
      </c>
      <c r="X22" s="70"/>
      <c r="Y22" s="70"/>
      <c r="Z22" s="79">
        <f>_xlfn.XLOOKUP(ExpPlan[[#This Row],[Dataset (.h5)]],Andeler[Datasett (.h5)],Andeler[total]," ")</f>
        <v>1468</v>
      </c>
      <c r="AA22" s="71">
        <f>IFERROR(_xlfn.XLOOKUP(ExpPlan[[#This Row],[Dataset (.h5)]],Andeler[Datasett (.h5)],Andeler[Normale]," ")/ExpPlan[[#This Row],[Number of samples]]," ")</f>
        <v>0.50272479564032702</v>
      </c>
      <c r="AB22" s="71">
        <f>IFERROR(_xlfn.XLOOKUP(ExpPlan[[#This Row],[Dataset (.h5)]],Andeler[Datasett (.h5)],Andeler[1 artrose]," ")/ExpPlan[[#This Row],[Number of samples]]," ")</f>
        <v>0.20027247956403268</v>
      </c>
      <c r="AC22" s="71">
        <f>IFERROR(_xlfn.XLOOKUP(ExpPlan[[#This Row],[Dataset (.h5)]],Andeler[Datasett (.h5)],Andeler[1 sklerose]," ")/ExpPlan[[#This Row],[Number of samples]]," ")</f>
        <v>4.2915531335149866E-2</v>
      </c>
      <c r="AD22" s="71">
        <f>IFERROR(_xlfn.XLOOKUP(ExpPlan[[#This Row],[Dataset (.h5)]],Andeler[Datasett (.h5)],Andeler[2 artrose]," ")/ExpPlan[[#This Row],[Number of samples]]," ")</f>
        <v>8.7874659400544966E-2</v>
      </c>
      <c r="AE22" s="71">
        <f>IFERROR(_xlfn.XLOOKUP(ExpPlan[[#This Row],[Dataset (.h5)]],Andeler[Datasett (.h5)],Andeler[2 PL]," ")/ExpPlan[[#This Row],[Number of samples]]," ")</f>
        <v>4.9727520435967301E-2</v>
      </c>
      <c r="AF22" s="71">
        <f>IFERROR(_xlfn.XLOOKUP(ExpPlan[[#This Row],[Dataset (.h5)]],Andeler[Datasett (.h5)],Andeler[3 artrose]," ")/ExpPlan[[#This Row],[Number of samples]]," ")</f>
        <v>3.2697547683923703E-2</v>
      </c>
      <c r="AG22" s="71">
        <f>IFERROR(_xlfn.XLOOKUP(ExpPlan[[#This Row],[Dataset (.h5)]],Andeler[Datasett (.h5)],Andeler[3 MCD]," ")/ExpPlan[[#This Row],[Number of samples]]," ")</f>
        <v>7.0163487738419614E-2</v>
      </c>
      <c r="AH22" s="71">
        <f>IFERROR(_xlfn.XLOOKUP(ExpPlan[[#This Row],[Dataset (.h5)]],Andeler[Datasett (.h5)],Andeler[3 OCD]," ")/ExpPlan[[#This Row],[Number of samples]]," ")</f>
        <v>7.4931880108991822E-3</v>
      </c>
      <c r="AI22" s="71">
        <f>IFERROR(_xlfn.XLOOKUP(ExpPlan[[#This Row],[Dataset (.h5)]],Andeler[Datasett (.h5)],Andeler[3 UAP]," ")/ExpPlan[[#This Row],[Number of samples]]," ")</f>
        <v>6.1307901907356951E-3</v>
      </c>
      <c r="AJ22" s="71">
        <f>SUM(ExpPlan[[#This Row],[1 artrose]:[3 UAP]])</f>
        <v>0.49727520435967298</v>
      </c>
    </row>
    <row r="23" spans="2:36" ht="48" outlineLevel="1">
      <c r="B23" s="66">
        <v>11679401</v>
      </c>
      <c r="C23" s="84" t="s">
        <v>48</v>
      </c>
      <c r="D23" s="66" t="s">
        <v>24</v>
      </c>
      <c r="E23" s="66" t="str">
        <f>_xlfn.TEXTJOIN("_",TRUE,ExpPlan[[#This Row],[Complexity]],ExpPlan[[#This Row],[Dataset (.h5)]],ExpPlan[[#This Row],[Learning rate]])</f>
        <v>B3_normal_abnormal20_0.01</v>
      </c>
      <c r="F23" s="66"/>
      <c r="G23" s="66">
        <f>_xlfn.XLOOKUP(ExpPlan[[#This Row],[Dataset (.h5)]],Andeler[Datasett (.h5)],Andeler[resize_shape]," ")</f>
        <v>800</v>
      </c>
      <c r="H23" s="66" t="s">
        <v>30</v>
      </c>
      <c r="I23" s="66">
        <v>0.01</v>
      </c>
      <c r="J23" s="66" t="s">
        <v>42</v>
      </c>
      <c r="K23" s="68"/>
      <c r="L23" s="78"/>
      <c r="M23" s="66" t="s">
        <v>49</v>
      </c>
      <c r="N23" s="69">
        <v>0.57493185999999996</v>
      </c>
      <c r="O23" s="70">
        <v>0.16847221945459701</v>
      </c>
      <c r="P23" s="70">
        <v>0.65638766519823699</v>
      </c>
      <c r="Q23" s="70">
        <v>0.44285714285714201</v>
      </c>
      <c r="R23" s="70"/>
      <c r="S23" s="70"/>
      <c r="T23" s="70">
        <v>0.57765670000000002</v>
      </c>
      <c r="U23" s="70">
        <v>0.16831427935623999</v>
      </c>
      <c r="V23" s="70">
        <v>0.64852607709750498</v>
      </c>
      <c r="W23" s="70">
        <v>0.47098976109215002</v>
      </c>
      <c r="X23" s="70"/>
      <c r="Y23" s="70"/>
      <c r="Z23" s="79">
        <f>_xlfn.XLOOKUP(ExpPlan[[#This Row],[Dataset (.h5)]],Andeler[Datasett (.h5)],Andeler[total]," ")</f>
        <v>1468</v>
      </c>
      <c r="AA23" s="71">
        <f>IFERROR(_xlfn.XLOOKUP(ExpPlan[[#This Row],[Dataset (.h5)]],Andeler[Datasett (.h5)],Andeler[Normale]," ")/ExpPlan[[#This Row],[Number of samples]]," ")</f>
        <v>0.50272479564032702</v>
      </c>
      <c r="AB23" s="71">
        <f>IFERROR(_xlfn.XLOOKUP(ExpPlan[[#This Row],[Dataset (.h5)]],Andeler[Datasett (.h5)],Andeler[1 artrose]," ")/ExpPlan[[#This Row],[Number of samples]]," ")</f>
        <v>0.20027247956403268</v>
      </c>
      <c r="AC23" s="71">
        <f>IFERROR(_xlfn.XLOOKUP(ExpPlan[[#This Row],[Dataset (.h5)]],Andeler[Datasett (.h5)],Andeler[1 sklerose]," ")/ExpPlan[[#This Row],[Number of samples]]," ")</f>
        <v>4.2915531335149866E-2</v>
      </c>
      <c r="AD23" s="71">
        <f>IFERROR(_xlfn.XLOOKUP(ExpPlan[[#This Row],[Dataset (.h5)]],Andeler[Datasett (.h5)],Andeler[2 artrose]," ")/ExpPlan[[#This Row],[Number of samples]]," ")</f>
        <v>8.7874659400544966E-2</v>
      </c>
      <c r="AE23" s="71">
        <f>IFERROR(_xlfn.XLOOKUP(ExpPlan[[#This Row],[Dataset (.h5)]],Andeler[Datasett (.h5)],Andeler[2 PL]," ")/ExpPlan[[#This Row],[Number of samples]]," ")</f>
        <v>4.9727520435967301E-2</v>
      </c>
      <c r="AF23" s="71">
        <f>IFERROR(_xlfn.XLOOKUP(ExpPlan[[#This Row],[Dataset (.h5)]],Andeler[Datasett (.h5)],Andeler[3 artrose]," ")/ExpPlan[[#This Row],[Number of samples]]," ")</f>
        <v>3.2697547683923703E-2</v>
      </c>
      <c r="AG23" s="71">
        <f>IFERROR(_xlfn.XLOOKUP(ExpPlan[[#This Row],[Dataset (.h5)]],Andeler[Datasett (.h5)],Andeler[3 MCD]," ")/ExpPlan[[#This Row],[Number of samples]]," ")</f>
        <v>7.0163487738419614E-2</v>
      </c>
      <c r="AH23" s="71">
        <f>IFERROR(_xlfn.XLOOKUP(ExpPlan[[#This Row],[Dataset (.h5)]],Andeler[Datasett (.h5)],Andeler[3 OCD]," ")/ExpPlan[[#This Row],[Number of samples]]," ")</f>
        <v>7.4931880108991822E-3</v>
      </c>
      <c r="AI23" s="71">
        <f>IFERROR(_xlfn.XLOOKUP(ExpPlan[[#This Row],[Dataset (.h5)]],Andeler[Datasett (.h5)],Andeler[3 UAP]," ")/ExpPlan[[#This Row],[Number of samples]]," ")</f>
        <v>6.1307901907356951E-3</v>
      </c>
      <c r="AJ23" s="71">
        <f>SUM(ExpPlan[[#This Row],[1 artrose]:[3 UAP]])</f>
        <v>0.49727520435967298</v>
      </c>
    </row>
    <row r="24" spans="2:36" ht="64" outlineLevel="1">
      <c r="B24" s="72">
        <v>11679434</v>
      </c>
      <c r="C24" s="73" t="s">
        <v>56</v>
      </c>
      <c r="D24" s="72" t="s">
        <v>24</v>
      </c>
      <c r="E24" s="74" t="str">
        <f>_xlfn.TEXTJOIN("_",TRUE,ExpPlan[[#This Row],[Complexity]],ExpPlan[[#This Row],[Dataset (.h5)]],ExpPlan[[#This Row],[Learning rate]])</f>
        <v>B4_normal_abnormal20_0.005</v>
      </c>
      <c r="F24" s="74"/>
      <c r="G24" s="72">
        <f>_xlfn.XLOOKUP(ExpPlan[[#This Row],[Dataset (.h5)]],Andeler[Datasett (.h5)],Andeler[resize_shape]," ")</f>
        <v>800</v>
      </c>
      <c r="H24" s="72" t="s">
        <v>57</v>
      </c>
      <c r="I24" s="74">
        <v>5.0000000000000001E-3</v>
      </c>
      <c r="J24" s="72" t="s">
        <v>42</v>
      </c>
      <c r="K24" s="75"/>
      <c r="L24" s="81"/>
      <c r="M24" s="72">
        <v>70</v>
      </c>
      <c r="N24" s="76"/>
      <c r="O24" s="76"/>
      <c r="P24" s="76"/>
      <c r="Q24" s="76"/>
      <c r="R24" s="76"/>
      <c r="S24" s="76"/>
      <c r="T24" s="76"/>
      <c r="U24" s="76"/>
      <c r="V24" s="76"/>
      <c r="W24" s="76"/>
      <c r="X24" s="76"/>
      <c r="Y24" s="76"/>
      <c r="Z24" s="82">
        <f>_xlfn.XLOOKUP(ExpPlan[[#This Row],[Dataset (.h5)]],Andeler[Datasett (.h5)],Andeler[total]," ")</f>
        <v>1468</v>
      </c>
      <c r="AA24" s="77">
        <f>IFERROR(_xlfn.XLOOKUP(ExpPlan[[#This Row],[Dataset (.h5)]],Andeler[Datasett (.h5)],Andeler[Normale]," ")/ExpPlan[[#This Row],[Number of samples]]," ")</f>
        <v>0.50272479564032702</v>
      </c>
      <c r="AB24" s="77">
        <f>IFERROR(_xlfn.XLOOKUP(ExpPlan[[#This Row],[Dataset (.h5)]],Andeler[Datasett (.h5)],Andeler[1 artrose]," ")/ExpPlan[[#This Row],[Number of samples]]," ")</f>
        <v>0.20027247956403268</v>
      </c>
      <c r="AC24" s="77">
        <f>IFERROR(_xlfn.XLOOKUP(ExpPlan[[#This Row],[Dataset (.h5)]],Andeler[Datasett (.h5)],Andeler[1 sklerose]," ")/ExpPlan[[#This Row],[Number of samples]]," ")</f>
        <v>4.2915531335149866E-2</v>
      </c>
      <c r="AD24" s="77">
        <f>IFERROR(_xlfn.XLOOKUP(ExpPlan[[#This Row],[Dataset (.h5)]],Andeler[Datasett (.h5)],Andeler[2 artrose]," ")/ExpPlan[[#This Row],[Number of samples]]," ")</f>
        <v>8.7874659400544966E-2</v>
      </c>
      <c r="AE24" s="77">
        <f>IFERROR(_xlfn.XLOOKUP(ExpPlan[[#This Row],[Dataset (.h5)]],Andeler[Datasett (.h5)],Andeler[2 PL]," ")/ExpPlan[[#This Row],[Number of samples]]," ")</f>
        <v>4.9727520435967301E-2</v>
      </c>
      <c r="AF24" s="77">
        <f>IFERROR(_xlfn.XLOOKUP(ExpPlan[[#This Row],[Dataset (.h5)]],Andeler[Datasett (.h5)],Andeler[3 artrose]," ")/ExpPlan[[#This Row],[Number of samples]]," ")</f>
        <v>3.2697547683923703E-2</v>
      </c>
      <c r="AG24" s="77">
        <f>IFERROR(_xlfn.XLOOKUP(ExpPlan[[#This Row],[Dataset (.h5)]],Andeler[Datasett (.h5)],Andeler[3 MCD]," ")/ExpPlan[[#This Row],[Number of samples]]," ")</f>
        <v>7.0163487738419614E-2</v>
      </c>
      <c r="AH24" s="77">
        <f>IFERROR(_xlfn.XLOOKUP(ExpPlan[[#This Row],[Dataset (.h5)]],Andeler[Datasett (.h5)],Andeler[3 OCD]," ")/ExpPlan[[#This Row],[Number of samples]]," ")</f>
        <v>7.4931880108991822E-3</v>
      </c>
      <c r="AI24" s="77">
        <f>IFERROR(_xlfn.XLOOKUP(ExpPlan[[#This Row],[Dataset (.h5)]],Andeler[Datasett (.h5)],Andeler[3 UAP]," ")/ExpPlan[[#This Row],[Number of samples]]," ")</f>
        <v>6.1307901907356951E-3</v>
      </c>
      <c r="AJ24" s="77">
        <f>SUM(ExpPlan[[#This Row],[1 artrose]:[3 UAP]])</f>
        <v>0.49727520435967298</v>
      </c>
    </row>
    <row r="25" spans="2:36" ht="64" outlineLevel="1">
      <c r="B25" s="72">
        <v>11679446</v>
      </c>
      <c r="C25" s="73" t="s">
        <v>58</v>
      </c>
      <c r="D25" s="72" t="s">
        <v>24</v>
      </c>
      <c r="E25" s="74" t="str">
        <f>_xlfn.TEXTJOIN("_",TRUE,ExpPlan[[#This Row],[Complexity]],ExpPlan[[#This Row],[Dataset (.h5)]],ExpPlan[[#This Row],[Learning rate]])</f>
        <v>B4_normal_abnormal20_0.005</v>
      </c>
      <c r="F25" s="74"/>
      <c r="G25" s="72">
        <f>_xlfn.XLOOKUP(ExpPlan[[#This Row],[Dataset (.h5)]],Andeler[Datasett (.h5)],Andeler[resize_shape]," ")</f>
        <v>800</v>
      </c>
      <c r="H25" s="72" t="s">
        <v>57</v>
      </c>
      <c r="I25" s="74">
        <v>5.0000000000000001E-3</v>
      </c>
      <c r="J25" s="72" t="s">
        <v>42</v>
      </c>
      <c r="K25" s="75"/>
      <c r="L25" s="81"/>
      <c r="M25" s="72">
        <v>50</v>
      </c>
      <c r="N25" s="76"/>
      <c r="O25" s="76"/>
      <c r="P25" s="76"/>
      <c r="Q25" s="76"/>
      <c r="R25" s="76"/>
      <c r="S25" s="76"/>
      <c r="T25" s="76"/>
      <c r="U25" s="76"/>
      <c r="V25" s="76"/>
      <c r="W25" s="76"/>
      <c r="X25" s="76"/>
      <c r="Y25" s="76"/>
      <c r="Z25" s="82">
        <f>_xlfn.XLOOKUP(ExpPlan[[#This Row],[Dataset (.h5)]],Andeler[Datasett (.h5)],Andeler[total]," ")</f>
        <v>1468</v>
      </c>
      <c r="AA25" s="77">
        <f>IFERROR(_xlfn.XLOOKUP(ExpPlan[[#This Row],[Dataset (.h5)]],Andeler[Datasett (.h5)],Andeler[Normale]," ")/ExpPlan[[#This Row],[Number of samples]]," ")</f>
        <v>0.50272479564032702</v>
      </c>
      <c r="AB25" s="77">
        <f>IFERROR(_xlfn.XLOOKUP(ExpPlan[[#This Row],[Dataset (.h5)]],Andeler[Datasett (.h5)],Andeler[1 artrose]," ")/ExpPlan[[#This Row],[Number of samples]]," ")</f>
        <v>0.20027247956403268</v>
      </c>
      <c r="AC25" s="77">
        <f>IFERROR(_xlfn.XLOOKUP(ExpPlan[[#This Row],[Dataset (.h5)]],Andeler[Datasett (.h5)],Andeler[1 sklerose]," ")/ExpPlan[[#This Row],[Number of samples]]," ")</f>
        <v>4.2915531335149866E-2</v>
      </c>
      <c r="AD25" s="77">
        <f>IFERROR(_xlfn.XLOOKUP(ExpPlan[[#This Row],[Dataset (.h5)]],Andeler[Datasett (.h5)],Andeler[2 artrose]," ")/ExpPlan[[#This Row],[Number of samples]]," ")</f>
        <v>8.7874659400544966E-2</v>
      </c>
      <c r="AE25" s="77">
        <f>IFERROR(_xlfn.XLOOKUP(ExpPlan[[#This Row],[Dataset (.h5)]],Andeler[Datasett (.h5)],Andeler[2 PL]," ")/ExpPlan[[#This Row],[Number of samples]]," ")</f>
        <v>4.9727520435967301E-2</v>
      </c>
      <c r="AF25" s="77">
        <f>IFERROR(_xlfn.XLOOKUP(ExpPlan[[#This Row],[Dataset (.h5)]],Andeler[Datasett (.h5)],Andeler[3 artrose]," ")/ExpPlan[[#This Row],[Number of samples]]," ")</f>
        <v>3.2697547683923703E-2</v>
      </c>
      <c r="AG25" s="77">
        <f>IFERROR(_xlfn.XLOOKUP(ExpPlan[[#This Row],[Dataset (.h5)]],Andeler[Datasett (.h5)],Andeler[3 MCD]," ")/ExpPlan[[#This Row],[Number of samples]]," ")</f>
        <v>7.0163487738419614E-2</v>
      </c>
      <c r="AH25" s="77">
        <f>IFERROR(_xlfn.XLOOKUP(ExpPlan[[#This Row],[Dataset (.h5)]],Andeler[Datasett (.h5)],Andeler[3 OCD]," ")/ExpPlan[[#This Row],[Number of samples]]," ")</f>
        <v>7.4931880108991822E-3</v>
      </c>
      <c r="AI25" s="77">
        <f>IFERROR(_xlfn.XLOOKUP(ExpPlan[[#This Row],[Dataset (.h5)]],Andeler[Datasett (.h5)],Andeler[3 UAP]," ")/ExpPlan[[#This Row],[Number of samples]]," ")</f>
        <v>6.1307901907356951E-3</v>
      </c>
      <c r="AJ25" s="77">
        <f>SUM(ExpPlan[[#This Row],[1 artrose]:[3 UAP]])</f>
        <v>0.49727520435967298</v>
      </c>
    </row>
    <row r="26" spans="2:36" ht="64" outlineLevel="1">
      <c r="B26" s="72">
        <v>11679447</v>
      </c>
      <c r="C26" s="73" t="s">
        <v>59</v>
      </c>
      <c r="D26" s="72" t="s">
        <v>24</v>
      </c>
      <c r="E26" s="74" t="str">
        <f>_xlfn.TEXTJOIN("_",TRUE,ExpPlan[[#This Row],[Complexity]],ExpPlan[[#This Row],[Dataset (.h5)]],ExpPlan[[#This Row],[Learning rate]])</f>
        <v>B4_normal_abnormal20_0.005</v>
      </c>
      <c r="F26" s="74"/>
      <c r="G26" s="72">
        <f>_xlfn.XLOOKUP(ExpPlan[[#This Row],[Dataset (.h5)]],Andeler[Datasett (.h5)],Andeler[resize_shape]," ")</f>
        <v>800</v>
      </c>
      <c r="H26" s="72" t="s">
        <v>57</v>
      </c>
      <c r="I26" s="74">
        <v>5.0000000000000001E-3</v>
      </c>
      <c r="J26" s="72" t="s">
        <v>42</v>
      </c>
      <c r="K26" s="75"/>
      <c r="L26" s="81"/>
      <c r="M26" s="72">
        <v>30</v>
      </c>
      <c r="N26" s="76"/>
      <c r="O26" s="76"/>
      <c r="P26" s="76"/>
      <c r="Q26" s="76"/>
      <c r="R26" s="76"/>
      <c r="S26" s="76"/>
      <c r="T26" s="76"/>
      <c r="U26" s="76"/>
      <c r="V26" s="76"/>
      <c r="W26" s="76"/>
      <c r="X26" s="76"/>
      <c r="Y26" s="76"/>
      <c r="Z26" s="82">
        <f>_xlfn.XLOOKUP(ExpPlan[[#This Row],[Dataset (.h5)]],Andeler[Datasett (.h5)],Andeler[total]," ")</f>
        <v>1468</v>
      </c>
      <c r="AA26" s="77">
        <f>IFERROR(_xlfn.XLOOKUP(ExpPlan[[#This Row],[Dataset (.h5)]],Andeler[Datasett (.h5)],Andeler[Normale]," ")/ExpPlan[[#This Row],[Number of samples]]," ")</f>
        <v>0.50272479564032702</v>
      </c>
      <c r="AB26" s="77">
        <f>IFERROR(_xlfn.XLOOKUP(ExpPlan[[#This Row],[Dataset (.h5)]],Andeler[Datasett (.h5)],Andeler[1 artrose]," ")/ExpPlan[[#This Row],[Number of samples]]," ")</f>
        <v>0.20027247956403268</v>
      </c>
      <c r="AC26" s="77">
        <f>IFERROR(_xlfn.XLOOKUP(ExpPlan[[#This Row],[Dataset (.h5)]],Andeler[Datasett (.h5)],Andeler[1 sklerose]," ")/ExpPlan[[#This Row],[Number of samples]]," ")</f>
        <v>4.2915531335149866E-2</v>
      </c>
      <c r="AD26" s="77">
        <f>IFERROR(_xlfn.XLOOKUP(ExpPlan[[#This Row],[Dataset (.h5)]],Andeler[Datasett (.h5)],Andeler[2 artrose]," ")/ExpPlan[[#This Row],[Number of samples]]," ")</f>
        <v>8.7874659400544966E-2</v>
      </c>
      <c r="AE26" s="77">
        <f>IFERROR(_xlfn.XLOOKUP(ExpPlan[[#This Row],[Dataset (.h5)]],Andeler[Datasett (.h5)],Andeler[2 PL]," ")/ExpPlan[[#This Row],[Number of samples]]," ")</f>
        <v>4.9727520435967301E-2</v>
      </c>
      <c r="AF26" s="77">
        <f>IFERROR(_xlfn.XLOOKUP(ExpPlan[[#This Row],[Dataset (.h5)]],Andeler[Datasett (.h5)],Andeler[3 artrose]," ")/ExpPlan[[#This Row],[Number of samples]]," ")</f>
        <v>3.2697547683923703E-2</v>
      </c>
      <c r="AG26" s="77">
        <f>IFERROR(_xlfn.XLOOKUP(ExpPlan[[#This Row],[Dataset (.h5)]],Andeler[Datasett (.h5)],Andeler[3 MCD]," ")/ExpPlan[[#This Row],[Number of samples]]," ")</f>
        <v>7.0163487738419614E-2</v>
      </c>
      <c r="AH26" s="77">
        <f>IFERROR(_xlfn.XLOOKUP(ExpPlan[[#This Row],[Dataset (.h5)]],Andeler[Datasett (.h5)],Andeler[3 OCD]," ")/ExpPlan[[#This Row],[Number of samples]]," ")</f>
        <v>7.4931880108991822E-3</v>
      </c>
      <c r="AI26" s="77">
        <f>IFERROR(_xlfn.XLOOKUP(ExpPlan[[#This Row],[Dataset (.h5)]],Andeler[Datasett (.h5)],Andeler[3 UAP]," ")/ExpPlan[[#This Row],[Number of samples]]," ")</f>
        <v>6.1307901907356951E-3</v>
      </c>
      <c r="AJ26" s="77">
        <f>SUM(ExpPlan[[#This Row],[1 artrose]:[3 UAP]])</f>
        <v>0.49727520435967298</v>
      </c>
    </row>
    <row r="27" spans="2:36" ht="64" outlineLevel="1">
      <c r="B27" s="72">
        <v>11679450</v>
      </c>
      <c r="C27" s="73" t="s">
        <v>60</v>
      </c>
      <c r="D27" s="72" t="s">
        <v>24</v>
      </c>
      <c r="E27" s="74" t="str">
        <f>_xlfn.TEXTJOIN("_",TRUE,ExpPlan[[#This Row],[Complexity]],ExpPlan[[#This Row],[Dataset (.h5)]],ExpPlan[[#This Row],[Learning rate]])</f>
        <v>B2_normal_abnormal20_0.005</v>
      </c>
      <c r="F27" s="74"/>
      <c r="G27" s="72">
        <f>_xlfn.XLOOKUP(ExpPlan[[#This Row],[Dataset (.h5)]],Andeler[Datasett (.h5)],Andeler[resize_shape]," ")</f>
        <v>800</v>
      </c>
      <c r="H27" s="72" t="s">
        <v>25</v>
      </c>
      <c r="I27" s="74">
        <v>5.0000000000000001E-3</v>
      </c>
      <c r="J27" s="72" t="s">
        <v>42</v>
      </c>
      <c r="K27" s="75"/>
      <c r="L27" s="81"/>
      <c r="M27" s="72">
        <v>70</v>
      </c>
      <c r="N27" s="76"/>
      <c r="O27" s="76"/>
      <c r="P27" s="76"/>
      <c r="Q27" s="76"/>
      <c r="R27" s="76"/>
      <c r="S27" s="76"/>
      <c r="T27" s="76"/>
      <c r="U27" s="76"/>
      <c r="V27" s="76"/>
      <c r="W27" s="76"/>
      <c r="X27" s="76"/>
      <c r="Y27" s="76"/>
      <c r="Z27" s="82">
        <f>_xlfn.XLOOKUP(ExpPlan[[#This Row],[Dataset (.h5)]],Andeler[Datasett (.h5)],Andeler[total]," ")</f>
        <v>1468</v>
      </c>
      <c r="AA27" s="77">
        <f>IFERROR(_xlfn.XLOOKUP(ExpPlan[[#This Row],[Dataset (.h5)]],Andeler[Datasett (.h5)],Andeler[Normale]," ")/ExpPlan[[#This Row],[Number of samples]]," ")</f>
        <v>0.50272479564032702</v>
      </c>
      <c r="AB27" s="77">
        <f>IFERROR(_xlfn.XLOOKUP(ExpPlan[[#This Row],[Dataset (.h5)]],Andeler[Datasett (.h5)],Andeler[1 artrose]," ")/ExpPlan[[#This Row],[Number of samples]]," ")</f>
        <v>0.20027247956403268</v>
      </c>
      <c r="AC27" s="77">
        <f>IFERROR(_xlfn.XLOOKUP(ExpPlan[[#This Row],[Dataset (.h5)]],Andeler[Datasett (.h5)],Andeler[1 sklerose]," ")/ExpPlan[[#This Row],[Number of samples]]," ")</f>
        <v>4.2915531335149866E-2</v>
      </c>
      <c r="AD27" s="77">
        <f>IFERROR(_xlfn.XLOOKUP(ExpPlan[[#This Row],[Dataset (.h5)]],Andeler[Datasett (.h5)],Andeler[2 artrose]," ")/ExpPlan[[#This Row],[Number of samples]]," ")</f>
        <v>8.7874659400544966E-2</v>
      </c>
      <c r="AE27" s="77">
        <f>IFERROR(_xlfn.XLOOKUP(ExpPlan[[#This Row],[Dataset (.h5)]],Andeler[Datasett (.h5)],Andeler[2 PL]," ")/ExpPlan[[#This Row],[Number of samples]]," ")</f>
        <v>4.9727520435967301E-2</v>
      </c>
      <c r="AF27" s="77">
        <f>IFERROR(_xlfn.XLOOKUP(ExpPlan[[#This Row],[Dataset (.h5)]],Andeler[Datasett (.h5)],Andeler[3 artrose]," ")/ExpPlan[[#This Row],[Number of samples]]," ")</f>
        <v>3.2697547683923703E-2</v>
      </c>
      <c r="AG27" s="77">
        <f>IFERROR(_xlfn.XLOOKUP(ExpPlan[[#This Row],[Dataset (.h5)]],Andeler[Datasett (.h5)],Andeler[3 MCD]," ")/ExpPlan[[#This Row],[Number of samples]]," ")</f>
        <v>7.0163487738419614E-2</v>
      </c>
      <c r="AH27" s="77">
        <f>IFERROR(_xlfn.XLOOKUP(ExpPlan[[#This Row],[Dataset (.h5)]],Andeler[Datasett (.h5)],Andeler[3 OCD]," ")/ExpPlan[[#This Row],[Number of samples]]," ")</f>
        <v>7.4931880108991822E-3</v>
      </c>
      <c r="AI27" s="77">
        <f>IFERROR(_xlfn.XLOOKUP(ExpPlan[[#This Row],[Dataset (.h5)]],Andeler[Datasett (.h5)],Andeler[3 UAP]," ")/ExpPlan[[#This Row],[Number of samples]]," ")</f>
        <v>6.1307901907356951E-3</v>
      </c>
      <c r="AJ27" s="77">
        <f>SUM(ExpPlan[[#This Row],[1 artrose]:[3 UAP]])</f>
        <v>0.49727520435967298</v>
      </c>
    </row>
    <row r="28" spans="2:36" ht="64" outlineLevel="1">
      <c r="B28" s="66">
        <v>11679451</v>
      </c>
      <c r="C28" s="67" t="s">
        <v>44</v>
      </c>
      <c r="D28" s="66" t="s">
        <v>24</v>
      </c>
      <c r="E28" s="66" t="str">
        <f>_xlfn.TEXTJOIN("_",TRUE,ExpPlan[[#This Row],[Complexity]],ExpPlan[[#This Row],[Dataset (.h5)]],ExpPlan[[#This Row],[Learning rate]])</f>
        <v>B3_normal_abnormal20_0.005</v>
      </c>
      <c r="F28" s="66"/>
      <c r="G28" s="66">
        <f>_xlfn.XLOOKUP(ExpPlan[[#This Row],[Dataset (.h5)]],Andeler[Datasett (.h5)],Andeler[resize_shape]," ")</f>
        <v>800</v>
      </c>
      <c r="H28" s="66" t="s">
        <v>30</v>
      </c>
      <c r="I28" s="66">
        <v>5.0000000000000001E-3</v>
      </c>
      <c r="J28" s="66" t="s">
        <v>42</v>
      </c>
      <c r="K28" s="68"/>
      <c r="L28" s="78"/>
      <c r="M28" s="66" t="s">
        <v>45</v>
      </c>
      <c r="N28" s="69">
        <v>0.60490465000000004</v>
      </c>
      <c r="O28" s="70">
        <v>0.22956389470275501</v>
      </c>
      <c r="P28" s="70">
        <v>0.50847457627118597</v>
      </c>
      <c r="Q28" s="70">
        <v>0.66970387243735696</v>
      </c>
      <c r="R28" s="70"/>
      <c r="S28" s="70"/>
      <c r="T28" s="70">
        <v>0.62125343</v>
      </c>
      <c r="U28" s="70">
        <v>0.268048037864278</v>
      </c>
      <c r="V28" s="70">
        <v>0.52233676975944998</v>
      </c>
      <c r="W28" s="70">
        <v>0.68623024830699697</v>
      </c>
      <c r="X28" s="70"/>
      <c r="Y28" s="70"/>
      <c r="Z28" s="79">
        <f>_xlfn.XLOOKUP(ExpPlan[[#This Row],[Dataset (.h5)]],Andeler[Datasett (.h5)],Andeler[total]," ")</f>
        <v>1468</v>
      </c>
      <c r="AA28" s="71">
        <f>IFERROR(_xlfn.XLOOKUP(ExpPlan[[#This Row],[Dataset (.h5)]],Andeler[Datasett (.h5)],Andeler[Normale]," ")/ExpPlan[[#This Row],[Number of samples]]," ")</f>
        <v>0.50272479564032702</v>
      </c>
      <c r="AB28" s="71">
        <f>IFERROR(_xlfn.XLOOKUP(ExpPlan[[#This Row],[Dataset (.h5)]],Andeler[Datasett (.h5)],Andeler[1 artrose]," ")/ExpPlan[[#This Row],[Number of samples]]," ")</f>
        <v>0.20027247956403268</v>
      </c>
      <c r="AC28" s="71">
        <f>IFERROR(_xlfn.XLOOKUP(ExpPlan[[#This Row],[Dataset (.h5)]],Andeler[Datasett (.h5)],Andeler[1 sklerose]," ")/ExpPlan[[#This Row],[Number of samples]]," ")</f>
        <v>4.2915531335149866E-2</v>
      </c>
      <c r="AD28" s="71">
        <f>IFERROR(_xlfn.XLOOKUP(ExpPlan[[#This Row],[Dataset (.h5)]],Andeler[Datasett (.h5)],Andeler[2 artrose]," ")/ExpPlan[[#This Row],[Number of samples]]," ")</f>
        <v>8.7874659400544966E-2</v>
      </c>
      <c r="AE28" s="71">
        <f>IFERROR(_xlfn.XLOOKUP(ExpPlan[[#This Row],[Dataset (.h5)]],Andeler[Datasett (.h5)],Andeler[2 PL]," ")/ExpPlan[[#This Row],[Number of samples]]," ")</f>
        <v>4.9727520435967301E-2</v>
      </c>
      <c r="AF28" s="71">
        <f>IFERROR(_xlfn.XLOOKUP(ExpPlan[[#This Row],[Dataset (.h5)]],Andeler[Datasett (.h5)],Andeler[3 artrose]," ")/ExpPlan[[#This Row],[Number of samples]]," ")</f>
        <v>3.2697547683923703E-2</v>
      </c>
      <c r="AG28" s="71">
        <f>IFERROR(_xlfn.XLOOKUP(ExpPlan[[#This Row],[Dataset (.h5)]],Andeler[Datasett (.h5)],Andeler[3 MCD]," ")/ExpPlan[[#This Row],[Number of samples]]," ")</f>
        <v>7.0163487738419614E-2</v>
      </c>
      <c r="AH28" s="71">
        <f>IFERROR(_xlfn.XLOOKUP(ExpPlan[[#This Row],[Dataset (.h5)]],Andeler[Datasett (.h5)],Andeler[3 OCD]," ")/ExpPlan[[#This Row],[Number of samples]]," ")</f>
        <v>7.4931880108991822E-3</v>
      </c>
      <c r="AI28" s="71">
        <f>IFERROR(_xlfn.XLOOKUP(ExpPlan[[#This Row],[Dataset (.h5)]],Andeler[Datasett (.h5)],Andeler[3 UAP]," ")/ExpPlan[[#This Row],[Number of samples]]," ")</f>
        <v>6.1307901907356951E-3</v>
      </c>
      <c r="AJ28" s="71">
        <f>SUM(ExpPlan[[#This Row],[1 artrose]:[3 UAP]])</f>
        <v>0.49727520435967298</v>
      </c>
    </row>
    <row r="29" spans="2:36" ht="64" outlineLevel="1">
      <c r="B29" s="87">
        <v>11680152</v>
      </c>
      <c r="C29" s="67" t="s">
        <v>61</v>
      </c>
      <c r="D29" s="66" t="s">
        <v>24</v>
      </c>
      <c r="E29" s="66" t="str">
        <f>_xlfn.TEXTJOIN("_",TRUE,ExpPlan[[#This Row],[Complexity]],ExpPlan[[#This Row],[Dataset (.h5)]],ExpPlan[[#This Row],[Learning rate]])</f>
        <v>B3_normal_abnormal20_0.00001</v>
      </c>
      <c r="F29" s="66"/>
      <c r="G29" s="66">
        <f>_xlfn.XLOOKUP(ExpPlan[[#This Row],[Dataset (.h5)]],Andeler[Datasett (.h5)],Andeler[resize_shape]," ")</f>
        <v>800</v>
      </c>
      <c r="H29" s="66" t="s">
        <v>30</v>
      </c>
      <c r="I29" s="66">
        <v>1.0000000000000001E-5</v>
      </c>
      <c r="J29" s="66" t="s">
        <v>42</v>
      </c>
      <c r="K29" s="68"/>
      <c r="L29" s="78"/>
      <c r="M29" s="66" t="s">
        <v>62</v>
      </c>
      <c r="N29" s="69">
        <v>0.58583105000000002</v>
      </c>
      <c r="O29" s="70">
        <v>0.17510290352990901</v>
      </c>
      <c r="P29" s="70">
        <v>0.54491017964071797</v>
      </c>
      <c r="Q29" s="70">
        <v>0.62</v>
      </c>
      <c r="R29" s="70"/>
      <c r="S29" s="70"/>
      <c r="T29" s="70">
        <v>0.57220709999999997</v>
      </c>
      <c r="U29" s="70">
        <v>0.14828691509240699</v>
      </c>
      <c r="V29" s="70">
        <v>0.52279635258358603</v>
      </c>
      <c r="W29" s="70">
        <v>0.61234567901234505</v>
      </c>
      <c r="X29" s="70"/>
      <c r="Y29" s="70"/>
      <c r="Z29" s="79">
        <f>_xlfn.XLOOKUP(ExpPlan[[#This Row],[Dataset (.h5)]],Andeler[Datasett (.h5)],Andeler[total]," ")</f>
        <v>1468</v>
      </c>
      <c r="AA29" s="71">
        <f>IFERROR(_xlfn.XLOOKUP(ExpPlan[[#This Row],[Dataset (.h5)]],Andeler[Datasett (.h5)],Andeler[Normale]," ")/ExpPlan[[#This Row],[Number of samples]]," ")</f>
        <v>0.50272479564032702</v>
      </c>
      <c r="AB29" s="71">
        <f>IFERROR(_xlfn.XLOOKUP(ExpPlan[[#This Row],[Dataset (.h5)]],Andeler[Datasett (.h5)],Andeler[1 artrose]," ")/ExpPlan[[#This Row],[Number of samples]]," ")</f>
        <v>0.20027247956403268</v>
      </c>
      <c r="AC29" s="71">
        <f>IFERROR(_xlfn.XLOOKUP(ExpPlan[[#This Row],[Dataset (.h5)]],Andeler[Datasett (.h5)],Andeler[1 sklerose]," ")/ExpPlan[[#This Row],[Number of samples]]," ")</f>
        <v>4.2915531335149866E-2</v>
      </c>
      <c r="AD29" s="71">
        <f>IFERROR(_xlfn.XLOOKUP(ExpPlan[[#This Row],[Dataset (.h5)]],Andeler[Datasett (.h5)],Andeler[2 artrose]," ")/ExpPlan[[#This Row],[Number of samples]]," ")</f>
        <v>8.7874659400544966E-2</v>
      </c>
      <c r="AE29" s="71">
        <f>IFERROR(_xlfn.XLOOKUP(ExpPlan[[#This Row],[Dataset (.h5)]],Andeler[Datasett (.h5)],Andeler[2 PL]," ")/ExpPlan[[#This Row],[Number of samples]]," ")</f>
        <v>4.9727520435967301E-2</v>
      </c>
      <c r="AF29" s="71">
        <f>IFERROR(_xlfn.XLOOKUP(ExpPlan[[#This Row],[Dataset (.h5)]],Andeler[Datasett (.h5)],Andeler[3 artrose]," ")/ExpPlan[[#This Row],[Number of samples]]," ")</f>
        <v>3.2697547683923703E-2</v>
      </c>
      <c r="AG29" s="71">
        <f>IFERROR(_xlfn.XLOOKUP(ExpPlan[[#This Row],[Dataset (.h5)]],Andeler[Datasett (.h5)],Andeler[3 MCD]," ")/ExpPlan[[#This Row],[Number of samples]]," ")</f>
        <v>7.0163487738419614E-2</v>
      </c>
      <c r="AH29" s="71">
        <f>IFERROR(_xlfn.XLOOKUP(ExpPlan[[#This Row],[Dataset (.h5)]],Andeler[Datasett (.h5)],Andeler[3 OCD]," ")/ExpPlan[[#This Row],[Number of samples]]," ")</f>
        <v>7.4931880108991822E-3</v>
      </c>
      <c r="AI29" s="71">
        <f>IFERROR(_xlfn.XLOOKUP(ExpPlan[[#This Row],[Dataset (.h5)]],Andeler[Datasett (.h5)],Andeler[3 UAP]," ")/ExpPlan[[#This Row],[Number of samples]]," ")</f>
        <v>6.1307901907356951E-3</v>
      </c>
      <c r="AJ29" s="71">
        <f>SUM(ExpPlan[[#This Row],[1 artrose]:[3 UAP]])</f>
        <v>0.49727520435967298</v>
      </c>
    </row>
    <row r="30" spans="2:36" ht="48" outlineLevel="1">
      <c r="B30" s="87">
        <v>11680153</v>
      </c>
      <c r="C30" s="67" t="s">
        <v>63</v>
      </c>
      <c r="D30" s="66" t="s">
        <v>24</v>
      </c>
      <c r="E30" s="66" t="str">
        <f>_xlfn.TEXTJOIN("_",TRUE,ExpPlan[[#This Row],[Complexity]],ExpPlan[[#This Row],[Dataset (.h5)]],ExpPlan[[#This Row],[Learning rate]])</f>
        <v>B3_normal_abnormal20_0.00001</v>
      </c>
      <c r="F30" s="66"/>
      <c r="G30" s="66">
        <f>_xlfn.XLOOKUP(ExpPlan[[#This Row],[Dataset (.h5)]],Andeler[Datasett (.h5)],Andeler[resize_shape]," ")</f>
        <v>800</v>
      </c>
      <c r="H30" s="66" t="s">
        <v>30</v>
      </c>
      <c r="I30" s="66">
        <v>1.0000000000000001E-5</v>
      </c>
      <c r="J30" s="66" t="s">
        <v>42</v>
      </c>
      <c r="K30" s="68">
        <v>8.7546296296296289E-2</v>
      </c>
      <c r="L30" s="78"/>
      <c r="M30" s="66" t="s">
        <v>64</v>
      </c>
      <c r="N30" s="69">
        <v>0.5585831</v>
      </c>
      <c r="O30" s="70">
        <v>0.117598394984799</v>
      </c>
      <c r="P30" s="70">
        <v>0.58247422680412297</v>
      </c>
      <c r="Q30" s="70">
        <v>0.53179190751445005</v>
      </c>
      <c r="R30" s="70"/>
      <c r="S30" s="70"/>
      <c r="T30" s="70">
        <v>0.61580383999999999</v>
      </c>
      <c r="U30" s="70">
        <v>0.231778243042323</v>
      </c>
      <c r="V30" s="70">
        <v>0.62599469496021198</v>
      </c>
      <c r="W30" s="70">
        <v>0.60504201680672198</v>
      </c>
      <c r="X30" s="70"/>
      <c r="Y30" s="70"/>
      <c r="Z30" s="79">
        <f>_xlfn.XLOOKUP(ExpPlan[[#This Row],[Dataset (.h5)]],Andeler[Datasett (.h5)],Andeler[total]," ")</f>
        <v>1468</v>
      </c>
      <c r="AA30" s="71">
        <f>IFERROR(_xlfn.XLOOKUP(ExpPlan[[#This Row],[Dataset (.h5)]],Andeler[Datasett (.h5)],Andeler[Normale]," ")/ExpPlan[[#This Row],[Number of samples]]," ")</f>
        <v>0.50272479564032702</v>
      </c>
      <c r="AB30" s="71">
        <f>IFERROR(_xlfn.XLOOKUP(ExpPlan[[#This Row],[Dataset (.h5)]],Andeler[Datasett (.h5)],Andeler[1 artrose]," ")/ExpPlan[[#This Row],[Number of samples]]," ")</f>
        <v>0.20027247956403268</v>
      </c>
      <c r="AC30" s="71">
        <f>IFERROR(_xlfn.XLOOKUP(ExpPlan[[#This Row],[Dataset (.h5)]],Andeler[Datasett (.h5)],Andeler[1 sklerose]," ")/ExpPlan[[#This Row],[Number of samples]]," ")</f>
        <v>4.2915531335149866E-2</v>
      </c>
      <c r="AD30" s="71">
        <f>IFERROR(_xlfn.XLOOKUP(ExpPlan[[#This Row],[Dataset (.h5)]],Andeler[Datasett (.h5)],Andeler[2 artrose]," ")/ExpPlan[[#This Row],[Number of samples]]," ")</f>
        <v>8.7874659400544966E-2</v>
      </c>
      <c r="AE30" s="71">
        <f>IFERROR(_xlfn.XLOOKUP(ExpPlan[[#This Row],[Dataset (.h5)]],Andeler[Datasett (.h5)],Andeler[2 PL]," ")/ExpPlan[[#This Row],[Number of samples]]," ")</f>
        <v>4.9727520435967301E-2</v>
      </c>
      <c r="AF30" s="71">
        <f>IFERROR(_xlfn.XLOOKUP(ExpPlan[[#This Row],[Dataset (.h5)]],Andeler[Datasett (.h5)],Andeler[3 artrose]," ")/ExpPlan[[#This Row],[Number of samples]]," ")</f>
        <v>3.2697547683923703E-2</v>
      </c>
      <c r="AG30" s="71">
        <f>IFERROR(_xlfn.XLOOKUP(ExpPlan[[#This Row],[Dataset (.h5)]],Andeler[Datasett (.h5)],Andeler[3 MCD]," ")/ExpPlan[[#This Row],[Number of samples]]," ")</f>
        <v>7.0163487738419614E-2</v>
      </c>
      <c r="AH30" s="71">
        <f>IFERROR(_xlfn.XLOOKUP(ExpPlan[[#This Row],[Dataset (.h5)]],Andeler[Datasett (.h5)],Andeler[3 OCD]," ")/ExpPlan[[#This Row],[Number of samples]]," ")</f>
        <v>7.4931880108991822E-3</v>
      </c>
      <c r="AI30" s="71">
        <f>IFERROR(_xlfn.XLOOKUP(ExpPlan[[#This Row],[Dataset (.h5)]],Andeler[Datasett (.h5)],Andeler[3 UAP]," ")/ExpPlan[[#This Row],[Number of samples]]," ")</f>
        <v>6.1307901907356951E-3</v>
      </c>
      <c r="AJ30" s="71">
        <f>SUM(ExpPlan[[#This Row],[1 artrose]:[3 UAP]])</f>
        <v>0.49727520435967298</v>
      </c>
    </row>
    <row r="31" spans="2:36" ht="80" outlineLevel="1">
      <c r="B31" s="66">
        <v>11684125</v>
      </c>
      <c r="C31" s="67" t="s">
        <v>78</v>
      </c>
      <c r="D31" s="66" t="s">
        <v>82</v>
      </c>
      <c r="E31" s="66" t="str">
        <f>_xlfn.TEXTJOIN("_",TRUE,ExpPlan[[#This Row],[Complexity]],ExpPlan[[#This Row],[Dataset (.h5)]],ExpPlan[[#This Row],[Learning rate]])</f>
        <v>B2_normal_abnormal20_1280_0.0005</v>
      </c>
      <c r="F31" s="66"/>
      <c r="G31" s="66">
        <v>1280</v>
      </c>
      <c r="H31" s="66" t="s">
        <v>25</v>
      </c>
      <c r="I31" s="66">
        <v>5.0000000000000001E-4</v>
      </c>
      <c r="J31" s="66" t="s">
        <v>26</v>
      </c>
      <c r="K31" s="68"/>
      <c r="L31" s="78" t="s">
        <v>87</v>
      </c>
      <c r="M31" s="66" t="s">
        <v>80</v>
      </c>
      <c r="N31" s="69">
        <v>0.94005450000000002</v>
      </c>
      <c r="O31" s="70">
        <v>0.88265692357437098</v>
      </c>
      <c r="P31" s="70">
        <v>0.94240837696335</v>
      </c>
      <c r="Q31" s="70">
        <v>0.9375</v>
      </c>
      <c r="R31" s="70">
        <v>0.96317410000000003</v>
      </c>
      <c r="S31" s="70">
        <v>0.97927061059634102</v>
      </c>
      <c r="T31" s="70">
        <v>0.91008173999999997</v>
      </c>
      <c r="U31" s="70">
        <v>0.83053116384316406</v>
      </c>
      <c r="V31" s="70">
        <v>0.91687657430730396</v>
      </c>
      <c r="W31" s="70">
        <v>0.90207715133531097</v>
      </c>
      <c r="X31" s="70">
        <v>0.95698214000000004</v>
      </c>
      <c r="Y31" s="70">
        <v>0.97114813494891905</v>
      </c>
      <c r="Z31" s="79">
        <f>_xlfn.XLOOKUP(ExpPlan[[#This Row],[Dataset (.h5)]],Andeler[Datasett (.h5)],Andeler[total]," ")</f>
        <v>1468</v>
      </c>
      <c r="AA31" s="71">
        <f>IFERROR(_xlfn.XLOOKUP(ExpPlan[[#This Row],[Dataset (.h5)]],Andeler[Datasett (.h5)],Andeler[Normale]," ")/ExpPlan[[#This Row],[Number of samples]]," ")</f>
        <v>0.50272479564032702</v>
      </c>
      <c r="AB31" s="71">
        <f>IFERROR(_xlfn.XLOOKUP(ExpPlan[[#This Row],[Dataset (.h5)]],Andeler[Datasett (.h5)],Andeler[1 artrose]," ")/ExpPlan[[#This Row],[Number of samples]]," ")</f>
        <v>0.20027247956403268</v>
      </c>
      <c r="AC31" s="71">
        <f>IFERROR(_xlfn.XLOOKUP(ExpPlan[[#This Row],[Dataset (.h5)]],Andeler[Datasett (.h5)],Andeler[1 sklerose]," ")/ExpPlan[[#This Row],[Number of samples]]," ")</f>
        <v>4.2915531335149866E-2</v>
      </c>
      <c r="AD31" s="71">
        <f>IFERROR(_xlfn.XLOOKUP(ExpPlan[[#This Row],[Dataset (.h5)]],Andeler[Datasett (.h5)],Andeler[2 artrose]," ")/ExpPlan[[#This Row],[Number of samples]]," ")</f>
        <v>8.7874659400544966E-2</v>
      </c>
      <c r="AE31" s="71">
        <f>IFERROR(_xlfn.XLOOKUP(ExpPlan[[#This Row],[Dataset (.h5)]],Andeler[Datasett (.h5)],Andeler[2 PL]," ")/ExpPlan[[#This Row],[Number of samples]]," ")</f>
        <v>4.9727520435967301E-2</v>
      </c>
      <c r="AF31" s="71">
        <f>IFERROR(_xlfn.XLOOKUP(ExpPlan[[#This Row],[Dataset (.h5)]],Andeler[Datasett (.h5)],Andeler[3 artrose]," ")/ExpPlan[[#This Row],[Number of samples]]," ")</f>
        <v>3.2697547683923703E-2</v>
      </c>
      <c r="AG31" s="71">
        <f>IFERROR(_xlfn.XLOOKUP(ExpPlan[[#This Row],[Dataset (.h5)]],Andeler[Datasett (.h5)],Andeler[3 MCD]," ")/ExpPlan[[#This Row],[Number of samples]]," ")</f>
        <v>7.0163487738419614E-2</v>
      </c>
      <c r="AH31" s="71">
        <f>IFERROR(_xlfn.XLOOKUP(ExpPlan[[#This Row],[Dataset (.h5)]],Andeler[Datasett (.h5)],Andeler[3 OCD]," ")/ExpPlan[[#This Row],[Number of samples]]," ")</f>
        <v>7.4931880108991822E-3</v>
      </c>
      <c r="AI31" s="71">
        <f>IFERROR(_xlfn.XLOOKUP(ExpPlan[[#This Row],[Dataset (.h5)]],Andeler[Datasett (.h5)],Andeler[3 UAP]," ")/ExpPlan[[#This Row],[Number of samples]]," ")</f>
        <v>6.1307901907356951E-3</v>
      </c>
      <c r="AJ31" s="71">
        <f>SUM(ExpPlan[[#This Row],[1 artrose]:[3 UAP]])</f>
        <v>0.49727520435967298</v>
      </c>
    </row>
    <row r="32" spans="2:36" ht="80" outlineLevel="1">
      <c r="B32" s="66">
        <v>11684126</v>
      </c>
      <c r="C32" s="67" t="s">
        <v>79</v>
      </c>
      <c r="D32" s="66" t="s">
        <v>82</v>
      </c>
      <c r="E32" s="66" t="str">
        <f>_xlfn.TEXTJOIN("_",TRUE,ExpPlan[[#This Row],[Complexity]],ExpPlan[[#This Row],[Dataset (.h5)]],ExpPlan[[#This Row],[Learning rate]])</f>
        <v>B2_normal_abnormal20_1280_0.001</v>
      </c>
      <c r="F32" s="66"/>
      <c r="G32" s="66">
        <v>1280</v>
      </c>
      <c r="H32" s="66" t="s">
        <v>25</v>
      </c>
      <c r="I32" s="66">
        <v>1E-3</v>
      </c>
      <c r="J32" s="66" t="s">
        <v>26</v>
      </c>
      <c r="K32" s="68"/>
      <c r="L32" s="78" t="s">
        <v>87</v>
      </c>
      <c r="M32" s="66" t="s">
        <v>81</v>
      </c>
      <c r="N32" s="69">
        <v>0.91825610000000002</v>
      </c>
      <c r="O32" s="70">
        <v>0.83777991570288901</v>
      </c>
      <c r="P32" s="70">
        <v>0.91620111731843501</v>
      </c>
      <c r="Q32" s="70">
        <v>0.92021276595744605</v>
      </c>
      <c r="R32" s="70">
        <v>0.95344799999999996</v>
      </c>
      <c r="S32" s="70">
        <v>0.96917320028510301</v>
      </c>
      <c r="T32" s="70">
        <v>0.92098093000000003</v>
      </c>
      <c r="U32" s="70">
        <v>0.84208025520649499</v>
      </c>
      <c r="V32" s="70">
        <v>0.920547945205479</v>
      </c>
      <c r="W32" s="70">
        <v>0.92140921409214005</v>
      </c>
      <c r="X32" s="70">
        <v>0.95935800000000004</v>
      </c>
      <c r="Y32" s="70">
        <v>0.97267759562841505</v>
      </c>
      <c r="Z32" s="79">
        <f>_xlfn.XLOOKUP(ExpPlan[[#This Row],[Dataset (.h5)]],Andeler[Datasett (.h5)],Andeler[total]," ")</f>
        <v>1468</v>
      </c>
      <c r="AA32" s="71">
        <f>IFERROR(_xlfn.XLOOKUP(ExpPlan[[#This Row],[Dataset (.h5)]],Andeler[Datasett (.h5)],Andeler[Normale]," ")/ExpPlan[[#This Row],[Number of samples]]," ")</f>
        <v>0.50272479564032702</v>
      </c>
      <c r="AB32" s="71">
        <f>IFERROR(_xlfn.XLOOKUP(ExpPlan[[#This Row],[Dataset (.h5)]],Andeler[Datasett (.h5)],Andeler[1 artrose]," ")/ExpPlan[[#This Row],[Number of samples]]," ")</f>
        <v>0.20027247956403268</v>
      </c>
      <c r="AC32" s="71">
        <f>IFERROR(_xlfn.XLOOKUP(ExpPlan[[#This Row],[Dataset (.h5)]],Andeler[Datasett (.h5)],Andeler[1 sklerose]," ")/ExpPlan[[#This Row],[Number of samples]]," ")</f>
        <v>4.2915531335149866E-2</v>
      </c>
      <c r="AD32" s="71">
        <f>IFERROR(_xlfn.XLOOKUP(ExpPlan[[#This Row],[Dataset (.h5)]],Andeler[Datasett (.h5)],Andeler[2 artrose]," ")/ExpPlan[[#This Row],[Number of samples]]," ")</f>
        <v>8.7874659400544966E-2</v>
      </c>
      <c r="AE32" s="71">
        <f>IFERROR(_xlfn.XLOOKUP(ExpPlan[[#This Row],[Dataset (.h5)]],Andeler[Datasett (.h5)],Andeler[2 PL]," ")/ExpPlan[[#This Row],[Number of samples]]," ")</f>
        <v>4.9727520435967301E-2</v>
      </c>
      <c r="AF32" s="71">
        <f>IFERROR(_xlfn.XLOOKUP(ExpPlan[[#This Row],[Dataset (.h5)]],Andeler[Datasett (.h5)],Andeler[3 artrose]," ")/ExpPlan[[#This Row],[Number of samples]]," ")</f>
        <v>3.2697547683923703E-2</v>
      </c>
      <c r="AG32" s="71">
        <f>IFERROR(_xlfn.XLOOKUP(ExpPlan[[#This Row],[Dataset (.h5)]],Andeler[Datasett (.h5)],Andeler[3 MCD]," ")/ExpPlan[[#This Row],[Number of samples]]," ")</f>
        <v>7.0163487738419614E-2</v>
      </c>
      <c r="AH32" s="71">
        <f>IFERROR(_xlfn.XLOOKUP(ExpPlan[[#This Row],[Dataset (.h5)]],Andeler[Datasett (.h5)],Andeler[3 OCD]," ")/ExpPlan[[#This Row],[Number of samples]]," ")</f>
        <v>7.4931880108991822E-3</v>
      </c>
      <c r="AI32" s="71">
        <f>IFERROR(_xlfn.XLOOKUP(ExpPlan[[#This Row],[Dataset (.h5)]],Andeler[Datasett (.h5)],Andeler[3 UAP]," ")/ExpPlan[[#This Row],[Number of samples]]," ")</f>
        <v>6.1307901907356951E-3</v>
      </c>
      <c r="AJ32" s="71">
        <f>SUM(ExpPlan[[#This Row],[1 artrose]:[3 UAP]])</f>
        <v>0.49727520435967298</v>
      </c>
    </row>
    <row r="33" spans="2:36" ht="64" outlineLevel="1">
      <c r="B33" s="72">
        <v>11684228</v>
      </c>
      <c r="C33" s="73" t="s">
        <v>83</v>
      </c>
      <c r="D33" s="72" t="s">
        <v>82</v>
      </c>
      <c r="E33" s="72" t="str">
        <f>_xlfn.TEXTJOIN("_",TRUE,ExpPlan[[#This Row],[Complexity]],ExpPlan[[#This Row],[Dataset (.h5)]],ExpPlan[[#This Row],[Learning rate]])</f>
        <v>B2_normal_abnormal20_1280_0.00005</v>
      </c>
      <c r="F33" s="72"/>
      <c r="G33" s="72">
        <f>_xlfn.XLOOKUP(ExpPlan[[#This Row],[Dataset (.h5)]],Andeler[Datasett (.h5)],Andeler[resize_shape]," ")</f>
        <v>1280</v>
      </c>
      <c r="H33" s="72" t="s">
        <v>25</v>
      </c>
      <c r="I33" s="74">
        <v>5.0000000000000002E-5</v>
      </c>
      <c r="J33" s="72" t="s">
        <v>26</v>
      </c>
      <c r="K33" s="75"/>
      <c r="L33" s="81" t="s">
        <v>87</v>
      </c>
      <c r="M33" s="72"/>
      <c r="N33" s="76"/>
      <c r="O33" s="76"/>
      <c r="P33" s="76"/>
      <c r="Q33" s="76"/>
      <c r="R33" s="76"/>
      <c r="S33" s="76"/>
      <c r="T33" s="76"/>
      <c r="U33" s="76"/>
      <c r="V33" s="76"/>
      <c r="W33" s="76"/>
      <c r="X33" s="76"/>
      <c r="Y33" s="76"/>
      <c r="Z33" s="82">
        <f>_xlfn.XLOOKUP(ExpPlan[[#This Row],[Dataset (.h5)]],Andeler[Datasett (.h5)],Andeler[total]," ")</f>
        <v>1468</v>
      </c>
      <c r="AA33" s="77">
        <f>IFERROR(_xlfn.XLOOKUP(ExpPlan[[#This Row],[Dataset (.h5)]],Andeler[Datasett (.h5)],Andeler[Normale]," ")/ExpPlan[[#This Row],[Number of samples]]," ")</f>
        <v>0.50272479564032702</v>
      </c>
      <c r="AB33" s="77">
        <f>IFERROR(_xlfn.XLOOKUP(ExpPlan[[#This Row],[Dataset (.h5)]],Andeler[Datasett (.h5)],Andeler[1 artrose]," ")/ExpPlan[[#This Row],[Number of samples]]," ")</f>
        <v>0.20027247956403268</v>
      </c>
      <c r="AC33" s="77">
        <f>IFERROR(_xlfn.XLOOKUP(ExpPlan[[#This Row],[Dataset (.h5)]],Andeler[Datasett (.h5)],Andeler[1 sklerose]," ")/ExpPlan[[#This Row],[Number of samples]]," ")</f>
        <v>4.2915531335149866E-2</v>
      </c>
      <c r="AD33" s="77">
        <f>IFERROR(_xlfn.XLOOKUP(ExpPlan[[#This Row],[Dataset (.h5)]],Andeler[Datasett (.h5)],Andeler[2 artrose]," ")/ExpPlan[[#This Row],[Number of samples]]," ")</f>
        <v>8.7874659400544966E-2</v>
      </c>
      <c r="AE33" s="77">
        <f>IFERROR(_xlfn.XLOOKUP(ExpPlan[[#This Row],[Dataset (.h5)]],Andeler[Datasett (.h5)],Andeler[2 PL]," ")/ExpPlan[[#This Row],[Number of samples]]," ")</f>
        <v>4.9727520435967301E-2</v>
      </c>
      <c r="AF33" s="77">
        <f>IFERROR(_xlfn.XLOOKUP(ExpPlan[[#This Row],[Dataset (.h5)]],Andeler[Datasett (.h5)],Andeler[3 artrose]," ")/ExpPlan[[#This Row],[Number of samples]]," ")</f>
        <v>3.2697547683923703E-2</v>
      </c>
      <c r="AG33" s="77">
        <f>IFERROR(_xlfn.XLOOKUP(ExpPlan[[#This Row],[Dataset (.h5)]],Andeler[Datasett (.h5)],Andeler[3 MCD]," ")/ExpPlan[[#This Row],[Number of samples]]," ")</f>
        <v>7.0163487738419614E-2</v>
      </c>
      <c r="AH33" s="77">
        <f>IFERROR(_xlfn.XLOOKUP(ExpPlan[[#This Row],[Dataset (.h5)]],Andeler[Datasett (.h5)],Andeler[3 OCD]," ")/ExpPlan[[#This Row],[Number of samples]]," ")</f>
        <v>7.4931880108991822E-3</v>
      </c>
      <c r="AI33" s="77">
        <f>IFERROR(_xlfn.XLOOKUP(ExpPlan[[#This Row],[Dataset (.h5)]],Andeler[Datasett (.h5)],Andeler[3 UAP]," ")/ExpPlan[[#This Row],[Number of samples]]," ")</f>
        <v>6.1307901907356951E-3</v>
      </c>
      <c r="AJ33" s="77">
        <f>SUM(ExpPlan[[#This Row],[1 artrose]:[3 UAP]])</f>
        <v>0.49727520435967298</v>
      </c>
    </row>
    <row r="34" spans="2:36" ht="64" outlineLevel="1">
      <c r="B34" s="66">
        <v>11684229</v>
      </c>
      <c r="C34" s="67" t="s">
        <v>84</v>
      </c>
      <c r="D34" s="66" t="s">
        <v>24</v>
      </c>
      <c r="E34" s="66" t="str">
        <f>_xlfn.TEXTJOIN("_",TRUE,ExpPlan[[#This Row],[Complexity]],ExpPlan[[#This Row],[Dataset (.h5)]],ExpPlan[[#This Row],[Learning rate]])</f>
        <v>B2_normal_abnormal20_0.00005</v>
      </c>
      <c r="F34" s="66"/>
      <c r="G34" s="66">
        <f>_xlfn.XLOOKUP(ExpPlan[[#This Row],[Dataset (.h5)]],Andeler[Datasett (.h5)],Andeler[resize_shape]," ")</f>
        <v>800</v>
      </c>
      <c r="H34" s="66" t="s">
        <v>25</v>
      </c>
      <c r="I34" s="66">
        <v>5.0000000000000002E-5</v>
      </c>
      <c r="J34" s="66" t="s">
        <v>26</v>
      </c>
      <c r="K34" s="68">
        <v>0.10116898148148147</v>
      </c>
      <c r="L34" s="78"/>
      <c r="M34" s="66" t="s">
        <v>91</v>
      </c>
      <c r="N34" s="69">
        <v>0.87193399999999999</v>
      </c>
      <c r="O34" s="70">
        <v>0.74443567436199598</v>
      </c>
      <c r="P34" s="70">
        <v>0.86980609418282495</v>
      </c>
      <c r="Q34" s="70">
        <v>0.87399463806970501</v>
      </c>
      <c r="R34" s="70"/>
      <c r="S34" s="70"/>
      <c r="T34" s="70">
        <v>0.85286105000000001</v>
      </c>
      <c r="U34" s="70">
        <v>0.70612361054904704</v>
      </c>
      <c r="V34" s="70">
        <v>0.850828729281768</v>
      </c>
      <c r="W34" s="70">
        <v>0.85483870967741904</v>
      </c>
      <c r="X34" s="70"/>
      <c r="Y34" s="70"/>
      <c r="Z34" s="79">
        <f>_xlfn.XLOOKUP(ExpPlan[[#This Row],[Dataset (.h5)]],Andeler[Datasett (.h5)],Andeler[total]," ")</f>
        <v>1468</v>
      </c>
      <c r="AA34" s="71">
        <f>IFERROR(_xlfn.XLOOKUP(ExpPlan[[#This Row],[Dataset (.h5)]],Andeler[Datasett (.h5)],Andeler[Normale]," ")/ExpPlan[[#This Row],[Number of samples]]," ")</f>
        <v>0.50272479564032702</v>
      </c>
      <c r="AB34" s="71">
        <f>IFERROR(_xlfn.XLOOKUP(ExpPlan[[#This Row],[Dataset (.h5)]],Andeler[Datasett (.h5)],Andeler[1 artrose]," ")/ExpPlan[[#This Row],[Number of samples]]," ")</f>
        <v>0.20027247956403268</v>
      </c>
      <c r="AC34" s="71">
        <f>IFERROR(_xlfn.XLOOKUP(ExpPlan[[#This Row],[Dataset (.h5)]],Andeler[Datasett (.h5)],Andeler[1 sklerose]," ")/ExpPlan[[#This Row],[Number of samples]]," ")</f>
        <v>4.2915531335149866E-2</v>
      </c>
      <c r="AD34" s="71">
        <f>IFERROR(_xlfn.XLOOKUP(ExpPlan[[#This Row],[Dataset (.h5)]],Andeler[Datasett (.h5)],Andeler[2 artrose]," ")/ExpPlan[[#This Row],[Number of samples]]," ")</f>
        <v>8.7874659400544966E-2</v>
      </c>
      <c r="AE34" s="71">
        <f>IFERROR(_xlfn.XLOOKUP(ExpPlan[[#This Row],[Dataset (.h5)]],Andeler[Datasett (.h5)],Andeler[2 PL]," ")/ExpPlan[[#This Row],[Number of samples]]," ")</f>
        <v>4.9727520435967301E-2</v>
      </c>
      <c r="AF34" s="71">
        <f>IFERROR(_xlfn.XLOOKUP(ExpPlan[[#This Row],[Dataset (.h5)]],Andeler[Datasett (.h5)],Andeler[3 artrose]," ")/ExpPlan[[#This Row],[Number of samples]]," ")</f>
        <v>3.2697547683923703E-2</v>
      </c>
      <c r="AG34" s="71">
        <f>IFERROR(_xlfn.XLOOKUP(ExpPlan[[#This Row],[Dataset (.h5)]],Andeler[Datasett (.h5)],Andeler[3 MCD]," ")/ExpPlan[[#This Row],[Number of samples]]," ")</f>
        <v>7.0163487738419614E-2</v>
      </c>
      <c r="AH34" s="71">
        <f>IFERROR(_xlfn.XLOOKUP(ExpPlan[[#This Row],[Dataset (.h5)]],Andeler[Datasett (.h5)],Andeler[3 OCD]," ")/ExpPlan[[#This Row],[Number of samples]]," ")</f>
        <v>7.4931880108991822E-3</v>
      </c>
      <c r="AI34" s="71">
        <f>IFERROR(_xlfn.XLOOKUP(ExpPlan[[#This Row],[Dataset (.h5)]],Andeler[Datasett (.h5)],Andeler[3 UAP]," ")/ExpPlan[[#This Row],[Number of samples]]," ")</f>
        <v>6.1307901907356951E-3</v>
      </c>
      <c r="AJ34" s="71">
        <f>SUM(ExpPlan[[#This Row],[1 artrose]:[3 UAP]])</f>
        <v>0.49727520435967298</v>
      </c>
    </row>
    <row r="35" spans="2:36" ht="48" outlineLevel="1">
      <c r="B35" s="72">
        <v>11684246</v>
      </c>
      <c r="C35" s="73" t="s">
        <v>88</v>
      </c>
      <c r="D35" s="72" t="s">
        <v>82</v>
      </c>
      <c r="E35" s="74" t="str">
        <f>_xlfn.TEXTJOIN("_",TRUE,ExpPlan[[#This Row],[Complexity]],ExpPlan[[#This Row],[Dataset (.h5)]],ExpPlan[[#This Row],[Learning rate]])</f>
        <v>B2_normal_abnormal20_1280_0.0005</v>
      </c>
      <c r="F35" s="74"/>
      <c r="G35" s="72">
        <f>_xlfn.XLOOKUP(ExpPlan[[#This Row],[Dataset (.h5)]],Andeler[Datasett (.h5)],Andeler[resize_shape]," ")</f>
        <v>1280</v>
      </c>
      <c r="H35" s="72" t="s">
        <v>25</v>
      </c>
      <c r="I35" s="74">
        <v>5.0000000000000001E-4</v>
      </c>
      <c r="J35" s="72" t="s">
        <v>26</v>
      </c>
      <c r="K35" s="75"/>
      <c r="L35" s="81" t="s">
        <v>89</v>
      </c>
      <c r="M35" s="72">
        <v>60</v>
      </c>
      <c r="N35" s="76"/>
      <c r="O35" s="76"/>
      <c r="P35" s="76"/>
      <c r="Q35" s="76"/>
      <c r="R35" s="76"/>
      <c r="S35" s="76"/>
      <c r="T35" s="76"/>
      <c r="U35" s="76"/>
      <c r="V35" s="76"/>
      <c r="W35" s="76"/>
      <c r="X35" s="76"/>
      <c r="Y35" s="76"/>
      <c r="Z35" s="82">
        <f>_xlfn.XLOOKUP(ExpPlan[[#This Row],[Dataset (.h5)]],Andeler[Datasett (.h5)],Andeler[total]," ")</f>
        <v>1468</v>
      </c>
      <c r="AA35" s="77">
        <f>IFERROR(_xlfn.XLOOKUP(ExpPlan[[#This Row],[Dataset (.h5)]],Andeler[Datasett (.h5)],Andeler[Normale]," ")/ExpPlan[[#This Row],[Number of samples]]," ")</f>
        <v>0.50272479564032702</v>
      </c>
      <c r="AB35" s="77">
        <f>IFERROR(_xlfn.XLOOKUP(ExpPlan[[#This Row],[Dataset (.h5)]],Andeler[Datasett (.h5)],Andeler[1 artrose]," ")/ExpPlan[[#This Row],[Number of samples]]," ")</f>
        <v>0.20027247956403268</v>
      </c>
      <c r="AC35" s="77">
        <f>IFERROR(_xlfn.XLOOKUP(ExpPlan[[#This Row],[Dataset (.h5)]],Andeler[Datasett (.h5)],Andeler[1 sklerose]," ")/ExpPlan[[#This Row],[Number of samples]]," ")</f>
        <v>4.2915531335149866E-2</v>
      </c>
      <c r="AD35" s="77">
        <f>IFERROR(_xlfn.XLOOKUP(ExpPlan[[#This Row],[Dataset (.h5)]],Andeler[Datasett (.h5)],Andeler[2 artrose]," ")/ExpPlan[[#This Row],[Number of samples]]," ")</f>
        <v>8.7874659400544966E-2</v>
      </c>
      <c r="AE35" s="77">
        <f>IFERROR(_xlfn.XLOOKUP(ExpPlan[[#This Row],[Dataset (.h5)]],Andeler[Datasett (.h5)],Andeler[2 PL]," ")/ExpPlan[[#This Row],[Number of samples]]," ")</f>
        <v>4.9727520435967301E-2</v>
      </c>
      <c r="AF35" s="77">
        <f>IFERROR(_xlfn.XLOOKUP(ExpPlan[[#This Row],[Dataset (.h5)]],Andeler[Datasett (.h5)],Andeler[3 artrose]," ")/ExpPlan[[#This Row],[Number of samples]]," ")</f>
        <v>3.2697547683923703E-2</v>
      </c>
      <c r="AG35" s="77">
        <f>IFERROR(_xlfn.XLOOKUP(ExpPlan[[#This Row],[Dataset (.h5)]],Andeler[Datasett (.h5)],Andeler[3 MCD]," ")/ExpPlan[[#This Row],[Number of samples]]," ")</f>
        <v>7.0163487738419614E-2</v>
      </c>
      <c r="AH35" s="77">
        <f>IFERROR(_xlfn.XLOOKUP(ExpPlan[[#This Row],[Dataset (.h5)]],Andeler[Datasett (.h5)],Andeler[3 OCD]," ")/ExpPlan[[#This Row],[Number of samples]]," ")</f>
        <v>7.4931880108991822E-3</v>
      </c>
      <c r="AI35" s="77">
        <f>IFERROR(_xlfn.XLOOKUP(ExpPlan[[#This Row],[Dataset (.h5)]],Andeler[Datasett (.h5)],Andeler[3 UAP]," ")/ExpPlan[[#This Row],[Number of samples]]," ")</f>
        <v>6.1307901907356951E-3</v>
      </c>
      <c r="AJ35" s="77">
        <f>SUM(ExpPlan[[#This Row],[1 artrose]:[3 UAP]])</f>
        <v>0.49727520435967298</v>
      </c>
    </row>
    <row r="36" spans="2:36" ht="48" outlineLevel="1">
      <c r="B36" s="66">
        <v>11684248</v>
      </c>
      <c r="C36" s="67" t="s">
        <v>88</v>
      </c>
      <c r="D36" s="66" t="s">
        <v>82</v>
      </c>
      <c r="E36" s="66" t="str">
        <f>_xlfn.TEXTJOIN("_",TRUE,ExpPlan[[#This Row],[Complexity]],ExpPlan[[#This Row],[Dataset (.h5)]],ExpPlan[[#This Row],[Learning rate]])</f>
        <v>B2_normal_abnormal20_1280_0.0005</v>
      </c>
      <c r="F36" s="66"/>
      <c r="G36" s="66">
        <f>_xlfn.XLOOKUP(ExpPlan[[#This Row],[Dataset (.h5)]],Andeler[Datasett (.h5)],Andeler[resize_shape]," ")</f>
        <v>1280</v>
      </c>
      <c r="H36" s="66" t="s">
        <v>25</v>
      </c>
      <c r="I36" s="66">
        <v>5.0000000000000001E-4</v>
      </c>
      <c r="J36" s="66" t="s">
        <v>26</v>
      </c>
      <c r="K36" s="68">
        <v>0.17134259259259257</v>
      </c>
      <c r="L36" s="78" t="s">
        <v>90</v>
      </c>
      <c r="M36" s="66" t="s">
        <v>92</v>
      </c>
      <c r="N36" s="69">
        <v>0.93460489999999996</v>
      </c>
      <c r="O36" s="70">
        <v>0.86920883820384798</v>
      </c>
      <c r="P36" s="70">
        <v>0.934782608695652</v>
      </c>
      <c r="Q36" s="70">
        <v>0.93442622950819598</v>
      </c>
      <c r="R36" s="70"/>
      <c r="S36" s="70"/>
      <c r="T36" s="70">
        <v>0.90463214999999997</v>
      </c>
      <c r="U36" s="70">
        <v>0.80987207829577601</v>
      </c>
      <c r="V36" s="70">
        <v>0.90304709141274198</v>
      </c>
      <c r="W36" s="70">
        <v>0.90616621983914203</v>
      </c>
      <c r="X36" s="70"/>
      <c r="Y36" s="70"/>
      <c r="Z36" s="79">
        <f>_xlfn.XLOOKUP(ExpPlan[[#This Row],[Dataset (.h5)]],Andeler[Datasett (.h5)],Andeler[total]," ")</f>
        <v>1468</v>
      </c>
      <c r="AA36" s="71">
        <f>IFERROR(_xlfn.XLOOKUP(ExpPlan[[#This Row],[Dataset (.h5)]],Andeler[Datasett (.h5)],Andeler[Normale]," ")/ExpPlan[[#This Row],[Number of samples]]," ")</f>
        <v>0.50272479564032702</v>
      </c>
      <c r="AB36" s="71">
        <f>IFERROR(_xlfn.XLOOKUP(ExpPlan[[#This Row],[Dataset (.h5)]],Andeler[Datasett (.h5)],Andeler[1 artrose]," ")/ExpPlan[[#This Row],[Number of samples]]," ")</f>
        <v>0.20027247956403268</v>
      </c>
      <c r="AC36" s="71">
        <f>IFERROR(_xlfn.XLOOKUP(ExpPlan[[#This Row],[Dataset (.h5)]],Andeler[Datasett (.h5)],Andeler[1 sklerose]," ")/ExpPlan[[#This Row],[Number of samples]]," ")</f>
        <v>4.2915531335149866E-2</v>
      </c>
      <c r="AD36" s="71">
        <f>IFERROR(_xlfn.XLOOKUP(ExpPlan[[#This Row],[Dataset (.h5)]],Andeler[Datasett (.h5)],Andeler[2 artrose]," ")/ExpPlan[[#This Row],[Number of samples]]," ")</f>
        <v>8.7874659400544966E-2</v>
      </c>
      <c r="AE36" s="71">
        <f>IFERROR(_xlfn.XLOOKUP(ExpPlan[[#This Row],[Dataset (.h5)]],Andeler[Datasett (.h5)],Andeler[2 PL]," ")/ExpPlan[[#This Row],[Number of samples]]," ")</f>
        <v>4.9727520435967301E-2</v>
      </c>
      <c r="AF36" s="71">
        <f>IFERROR(_xlfn.XLOOKUP(ExpPlan[[#This Row],[Dataset (.h5)]],Andeler[Datasett (.h5)],Andeler[3 artrose]," ")/ExpPlan[[#This Row],[Number of samples]]," ")</f>
        <v>3.2697547683923703E-2</v>
      </c>
      <c r="AG36" s="71">
        <f>IFERROR(_xlfn.XLOOKUP(ExpPlan[[#This Row],[Dataset (.h5)]],Andeler[Datasett (.h5)],Andeler[3 MCD]," ")/ExpPlan[[#This Row],[Number of samples]]," ")</f>
        <v>7.0163487738419614E-2</v>
      </c>
      <c r="AH36" s="71">
        <f>IFERROR(_xlfn.XLOOKUP(ExpPlan[[#This Row],[Dataset (.h5)]],Andeler[Datasett (.h5)],Andeler[3 OCD]," ")/ExpPlan[[#This Row],[Number of samples]]," ")</f>
        <v>7.4931880108991822E-3</v>
      </c>
      <c r="AI36" s="71">
        <f>IFERROR(_xlfn.XLOOKUP(ExpPlan[[#This Row],[Dataset (.h5)]],Andeler[Datasett (.h5)],Andeler[3 UAP]," ")/ExpPlan[[#This Row],[Number of samples]]," ")</f>
        <v>6.1307901907356951E-3</v>
      </c>
      <c r="AJ36" s="71">
        <f>SUM(ExpPlan[[#This Row],[1 artrose]:[3 UAP]])</f>
        <v>0.49727520435967298</v>
      </c>
    </row>
    <row r="37" spans="2:36" ht="48" outlineLevel="1">
      <c r="B37" s="87">
        <v>11684638</v>
      </c>
      <c r="C37" s="67" t="s">
        <v>93</v>
      </c>
      <c r="D37" s="66" t="s">
        <v>82</v>
      </c>
      <c r="E37" s="66" t="str">
        <f>_xlfn.TEXTJOIN("_",TRUE,ExpPlan[[#This Row],[Complexity]],ExpPlan[[#This Row],[Dataset (.h5)]],ExpPlan[[#This Row],[Learning rate]])</f>
        <v>B2_normal_abnormal20_1280_0.001</v>
      </c>
      <c r="F37" s="66"/>
      <c r="G37" s="66">
        <f>_xlfn.XLOOKUP(ExpPlan[[#This Row],[Dataset (.h5)]],Andeler[Datasett (.h5)],Andeler[resize_shape]," ")</f>
        <v>1280</v>
      </c>
      <c r="H37" s="66" t="s">
        <v>25</v>
      </c>
      <c r="I37" s="66">
        <v>1E-3</v>
      </c>
      <c r="J37" s="66" t="s">
        <v>26</v>
      </c>
      <c r="K37" s="68">
        <v>0.13958333333333334</v>
      </c>
      <c r="L37" s="78" t="s">
        <v>90</v>
      </c>
      <c r="M37" s="66" t="s">
        <v>94</v>
      </c>
      <c r="N37" s="69">
        <v>0.66757493999999995</v>
      </c>
      <c r="O37" s="70">
        <v>0.33526499054536901</v>
      </c>
      <c r="P37" s="70">
        <v>0.67379679144384996</v>
      </c>
      <c r="Q37" s="70">
        <v>0.66111111111111098</v>
      </c>
      <c r="R37" s="70"/>
      <c r="S37" s="70"/>
      <c r="T37" s="70">
        <v>0.68664849999999999</v>
      </c>
      <c r="U37" s="70">
        <v>0.375956241145812</v>
      </c>
      <c r="V37" s="70">
        <v>0.66858789625360204</v>
      </c>
      <c r="W37" s="70">
        <v>0.70284237726098198</v>
      </c>
      <c r="X37" s="70"/>
      <c r="Y37" s="70"/>
      <c r="Z37" s="79">
        <f>_xlfn.XLOOKUP(ExpPlan[[#This Row],[Dataset (.h5)]],Andeler[Datasett (.h5)],Andeler[total]," ")</f>
        <v>1468</v>
      </c>
      <c r="AA37" s="71">
        <f>IFERROR(_xlfn.XLOOKUP(ExpPlan[[#This Row],[Dataset (.h5)]],Andeler[Datasett (.h5)],Andeler[Normale]," ")/ExpPlan[[#This Row],[Number of samples]]," ")</f>
        <v>0.50272479564032702</v>
      </c>
      <c r="AB37" s="71">
        <f>IFERROR(_xlfn.XLOOKUP(ExpPlan[[#This Row],[Dataset (.h5)]],Andeler[Datasett (.h5)],Andeler[1 artrose]," ")/ExpPlan[[#This Row],[Number of samples]]," ")</f>
        <v>0.20027247956403268</v>
      </c>
      <c r="AC37" s="71">
        <f>IFERROR(_xlfn.XLOOKUP(ExpPlan[[#This Row],[Dataset (.h5)]],Andeler[Datasett (.h5)],Andeler[1 sklerose]," ")/ExpPlan[[#This Row],[Number of samples]]," ")</f>
        <v>4.2915531335149866E-2</v>
      </c>
      <c r="AD37" s="71">
        <f>IFERROR(_xlfn.XLOOKUP(ExpPlan[[#This Row],[Dataset (.h5)]],Andeler[Datasett (.h5)],Andeler[2 artrose]," ")/ExpPlan[[#This Row],[Number of samples]]," ")</f>
        <v>8.7874659400544966E-2</v>
      </c>
      <c r="AE37" s="71">
        <f>IFERROR(_xlfn.XLOOKUP(ExpPlan[[#This Row],[Dataset (.h5)]],Andeler[Datasett (.h5)],Andeler[2 PL]," ")/ExpPlan[[#This Row],[Number of samples]]," ")</f>
        <v>4.9727520435967301E-2</v>
      </c>
      <c r="AF37" s="71">
        <f>IFERROR(_xlfn.XLOOKUP(ExpPlan[[#This Row],[Dataset (.h5)]],Andeler[Datasett (.h5)],Andeler[3 artrose]," ")/ExpPlan[[#This Row],[Number of samples]]," ")</f>
        <v>3.2697547683923703E-2</v>
      </c>
      <c r="AG37" s="71">
        <f>IFERROR(_xlfn.XLOOKUP(ExpPlan[[#This Row],[Dataset (.h5)]],Andeler[Datasett (.h5)],Andeler[3 MCD]," ")/ExpPlan[[#This Row],[Number of samples]]," ")</f>
        <v>7.0163487738419614E-2</v>
      </c>
      <c r="AH37" s="71">
        <f>IFERROR(_xlfn.XLOOKUP(ExpPlan[[#This Row],[Dataset (.h5)]],Andeler[Datasett (.h5)],Andeler[3 OCD]," ")/ExpPlan[[#This Row],[Number of samples]]," ")</f>
        <v>7.4931880108991822E-3</v>
      </c>
      <c r="AI37" s="71">
        <f>IFERROR(_xlfn.XLOOKUP(ExpPlan[[#This Row],[Dataset (.h5)]],Andeler[Datasett (.h5)],Andeler[3 UAP]," ")/ExpPlan[[#This Row],[Number of samples]]," ")</f>
        <v>6.1307901907356951E-3</v>
      </c>
      <c r="AJ37" s="71">
        <f>SUM(ExpPlan[[#This Row],[1 artrose]:[3 UAP]])</f>
        <v>0.49727520435967298</v>
      </c>
    </row>
    <row r="38" spans="2:36" ht="48" outlineLevel="1">
      <c r="B38" s="66">
        <v>11684842</v>
      </c>
      <c r="C38" s="88" t="s">
        <v>96</v>
      </c>
      <c r="D38" s="66" t="s">
        <v>24</v>
      </c>
      <c r="E38" s="66" t="str">
        <f>_xlfn.TEXTJOIN("_",TRUE,ExpPlan[[#This Row],[Complexity]],ExpPlan[[#This Row],[Dataset (.h5)]],ExpPlan[[#This Row],[Learning rate]])</f>
        <v>B2_normal_abnormal20_0.0005</v>
      </c>
      <c r="F38" s="66"/>
      <c r="G38" s="66">
        <f>_xlfn.XLOOKUP(ExpPlan[[#This Row],[Dataset (.h5)]],Andeler[Datasett (.h5)],Andeler[resize_shape]," ")</f>
        <v>800</v>
      </c>
      <c r="H38" s="66" t="s">
        <v>25</v>
      </c>
      <c r="I38" s="66">
        <v>5.0000000000000001E-4</v>
      </c>
      <c r="J38" s="66" t="s">
        <v>26</v>
      </c>
      <c r="K38" s="68">
        <v>5.486111111111111E-2</v>
      </c>
      <c r="L38" s="78"/>
      <c r="M38" s="66" t="s">
        <v>98</v>
      </c>
      <c r="N38" s="69">
        <v>0.90735699999999997</v>
      </c>
      <c r="O38" s="70">
        <v>0.81705645963111595</v>
      </c>
      <c r="P38" s="70">
        <v>0.91099476439790505</v>
      </c>
      <c r="Q38" s="70">
        <v>0.90340909090909005</v>
      </c>
      <c r="R38" s="70"/>
      <c r="S38" s="70"/>
      <c r="T38" s="70">
        <v>0.90190740000000003</v>
      </c>
      <c r="U38" s="70">
        <v>0.80684108117012499</v>
      </c>
      <c r="V38" s="70">
        <v>0.90625</v>
      </c>
      <c r="W38" s="70">
        <v>0.89714285714285702</v>
      </c>
      <c r="X38" s="70"/>
      <c r="Y38" s="70"/>
      <c r="Z38" s="79">
        <f>_xlfn.XLOOKUP(ExpPlan[[#This Row],[Dataset (.h5)]],Andeler[Datasett (.h5)],Andeler[total]," ")</f>
        <v>1468</v>
      </c>
      <c r="AA38" s="71">
        <f>IFERROR(_xlfn.XLOOKUP(ExpPlan[[#This Row],[Dataset (.h5)]],Andeler[Datasett (.h5)],Andeler[Normale]," ")/ExpPlan[[#This Row],[Number of samples]]," ")</f>
        <v>0.50272479564032702</v>
      </c>
      <c r="AB38" s="71">
        <f>IFERROR(_xlfn.XLOOKUP(ExpPlan[[#This Row],[Dataset (.h5)]],Andeler[Datasett (.h5)],Andeler[1 artrose]," ")/ExpPlan[[#This Row],[Number of samples]]," ")</f>
        <v>0.20027247956403268</v>
      </c>
      <c r="AC38" s="71">
        <f>IFERROR(_xlfn.XLOOKUP(ExpPlan[[#This Row],[Dataset (.h5)]],Andeler[Datasett (.h5)],Andeler[1 sklerose]," ")/ExpPlan[[#This Row],[Number of samples]]," ")</f>
        <v>4.2915531335149866E-2</v>
      </c>
      <c r="AD38" s="71">
        <f>IFERROR(_xlfn.XLOOKUP(ExpPlan[[#This Row],[Dataset (.h5)]],Andeler[Datasett (.h5)],Andeler[2 artrose]," ")/ExpPlan[[#This Row],[Number of samples]]," ")</f>
        <v>8.7874659400544966E-2</v>
      </c>
      <c r="AE38" s="71">
        <f>IFERROR(_xlfn.XLOOKUP(ExpPlan[[#This Row],[Dataset (.h5)]],Andeler[Datasett (.h5)],Andeler[2 PL]," ")/ExpPlan[[#This Row],[Number of samples]]," ")</f>
        <v>4.9727520435967301E-2</v>
      </c>
      <c r="AF38" s="71">
        <f>IFERROR(_xlfn.XLOOKUP(ExpPlan[[#This Row],[Dataset (.h5)]],Andeler[Datasett (.h5)],Andeler[3 artrose]," ")/ExpPlan[[#This Row],[Number of samples]]," ")</f>
        <v>3.2697547683923703E-2</v>
      </c>
      <c r="AG38" s="71">
        <f>IFERROR(_xlfn.XLOOKUP(ExpPlan[[#This Row],[Dataset (.h5)]],Andeler[Datasett (.h5)],Andeler[3 MCD]," ")/ExpPlan[[#This Row],[Number of samples]]," ")</f>
        <v>7.0163487738419614E-2</v>
      </c>
      <c r="AH38" s="71">
        <f>IFERROR(_xlfn.XLOOKUP(ExpPlan[[#This Row],[Dataset (.h5)]],Andeler[Datasett (.h5)],Andeler[3 OCD]," ")/ExpPlan[[#This Row],[Number of samples]]," ")</f>
        <v>7.4931880108991822E-3</v>
      </c>
      <c r="AI38" s="71">
        <f>IFERROR(_xlfn.XLOOKUP(ExpPlan[[#This Row],[Dataset (.h5)]],Andeler[Datasett (.h5)],Andeler[3 UAP]," ")/ExpPlan[[#This Row],[Number of samples]]," ")</f>
        <v>6.1307901907356951E-3</v>
      </c>
      <c r="AJ38" s="71">
        <f>SUM(ExpPlan[[#This Row],[1 artrose]:[3 UAP]])</f>
        <v>0.49727520435967298</v>
      </c>
    </row>
    <row r="39" spans="2:36" ht="48" outlineLevel="1">
      <c r="B39" s="66">
        <v>11684844</v>
      </c>
      <c r="C39" s="88" t="s">
        <v>97</v>
      </c>
      <c r="D39" s="66" t="s">
        <v>76</v>
      </c>
      <c r="E39" s="66" t="str">
        <f>_xlfn.TEXTJOIN("_",TRUE,ExpPlan[[#This Row],[Complexity]],ExpPlan[[#This Row],[Dataset (.h5)]],ExpPlan[[#This Row],[Learning rate]])</f>
        <v>B2_normal_abnormal21_0.001</v>
      </c>
      <c r="F39" s="66"/>
      <c r="G39" s="66">
        <f>_xlfn.XLOOKUP(ExpPlan[[#This Row],[Dataset (.h5)]],Andeler[Datasett (.h5)],Andeler[resize_shape]," ")</f>
        <v>800</v>
      </c>
      <c r="H39" s="66" t="s">
        <v>25</v>
      </c>
      <c r="I39" s="66">
        <v>1E-3</v>
      </c>
      <c r="J39" s="66" t="s">
        <v>26</v>
      </c>
      <c r="K39" s="68">
        <v>5.7638888888888885E-2</v>
      </c>
      <c r="L39" s="78" t="s">
        <v>100</v>
      </c>
      <c r="M39" s="66" t="s">
        <v>99</v>
      </c>
      <c r="N39" s="69">
        <v>0.86363639999999997</v>
      </c>
      <c r="O39" s="70">
        <v>0.72754934396807402</v>
      </c>
      <c r="P39" s="70">
        <v>0.85872576177285298</v>
      </c>
      <c r="Q39" s="70">
        <v>0.86821705426356499</v>
      </c>
      <c r="R39" s="70"/>
      <c r="S39" s="70"/>
      <c r="T39" s="70">
        <v>0.89572189999999996</v>
      </c>
      <c r="U39" s="70">
        <v>0.79214879184063602</v>
      </c>
      <c r="V39" s="70">
        <v>0.89136490250696299</v>
      </c>
      <c r="W39" s="70">
        <v>0.89974293059125898</v>
      </c>
      <c r="X39" s="70"/>
      <c r="Y39" s="70"/>
      <c r="Z39" s="79">
        <f>_xlfn.XLOOKUP(ExpPlan[[#This Row],[Dataset (.h5)]],Andeler[Datasett (.h5)],Andeler[total]," ")</f>
        <v>1498</v>
      </c>
      <c r="AA39" s="71">
        <f>IFERROR(_xlfn.XLOOKUP(ExpPlan[[#This Row],[Dataset (.h5)]],Andeler[Datasett (.h5)],Andeler[Normale]," ")/ExpPlan[[#This Row],[Number of samples]]," ")</f>
        <v>0.49265687583444595</v>
      </c>
      <c r="AB39" s="71">
        <f>IFERROR(_xlfn.XLOOKUP(ExpPlan[[#This Row],[Dataset (.h5)]],Andeler[Datasett (.h5)],Andeler[1 artrose]," ")/ExpPlan[[#This Row],[Number of samples]]," ")</f>
        <v>0.13551401869158877</v>
      </c>
      <c r="AC39" s="71">
        <f>IFERROR(_xlfn.XLOOKUP(ExpPlan[[#This Row],[Dataset (.h5)]],Andeler[Datasett (.h5)],Andeler[1 sklerose]," ")/ExpPlan[[#This Row],[Number of samples]]," ")</f>
        <v>1.9359145527369826E-2</v>
      </c>
      <c r="AD39" s="71">
        <f>IFERROR(_xlfn.XLOOKUP(ExpPlan[[#This Row],[Dataset (.h5)]],Andeler[Datasett (.h5)],Andeler[2 artrose]," ")/ExpPlan[[#This Row],[Number of samples]]," ")</f>
        <v>0.17423230974632845</v>
      </c>
      <c r="AE39" s="71">
        <f>IFERROR(_xlfn.XLOOKUP(ExpPlan[[#This Row],[Dataset (.h5)]],Andeler[Datasett (.h5)],Andeler[2 PL]," ")/ExpPlan[[#This Row],[Number of samples]]," ")</f>
        <v>3.4045393858477969E-2</v>
      </c>
      <c r="AF39" s="71">
        <f>IFERROR(_xlfn.XLOOKUP(ExpPlan[[#This Row],[Dataset (.h5)]],Andeler[Datasett (.h5)],Andeler[3 artrose]," ")/ExpPlan[[#This Row],[Number of samples]]," ")</f>
        <v>7.6101468624833107E-2</v>
      </c>
      <c r="AG39" s="71">
        <f>IFERROR(_xlfn.XLOOKUP(ExpPlan[[#This Row],[Dataset (.h5)]],Andeler[Datasett (.h5)],Andeler[3 MCD]," ")/ExpPlan[[#This Row],[Number of samples]]," ")</f>
        <v>4.4726301735647532E-2</v>
      </c>
      <c r="AH39" s="71">
        <f>IFERROR(_xlfn.XLOOKUP(ExpPlan[[#This Row],[Dataset (.h5)]],Andeler[Datasett (.h5)],Andeler[3 OCD]," ")/ExpPlan[[#This Row],[Number of samples]]," ")</f>
        <v>8.0106809078771702E-3</v>
      </c>
      <c r="AI39" s="71">
        <f>IFERROR(_xlfn.XLOOKUP(ExpPlan[[#This Row],[Dataset (.h5)]],Andeler[Datasett (.h5)],Andeler[3 UAP]," ")/ExpPlan[[#This Row],[Number of samples]]," ")</f>
        <v>1.5353805073431242E-2</v>
      </c>
      <c r="AJ39" s="71">
        <f>SUM(ExpPlan[[#This Row],[1 artrose]:[3 UAP]])</f>
        <v>0.50734312416555405</v>
      </c>
    </row>
    <row r="40" spans="2:36" ht="48" outlineLevel="1">
      <c r="B40" s="66">
        <v>11684928</v>
      </c>
      <c r="C40" s="88" t="s">
        <v>101</v>
      </c>
      <c r="D40" s="66" t="s">
        <v>76</v>
      </c>
      <c r="E40" s="78" t="str">
        <f>_xlfn.TEXTJOIN("_",TRUE,ExpPlan[[#This Row],[Complexity]],ExpPlan[[#This Row],[Dataset (.h5)]],ExpPlan[[#This Row],[Learning rate]])</f>
        <v>B2_normal_abnormal21_0.001</v>
      </c>
      <c r="F40" s="78"/>
      <c r="G40" s="66">
        <f>_xlfn.XLOOKUP(ExpPlan[[#This Row],[Dataset (.h5)]],Andeler[Datasett (.h5)],Andeler[resize_shape]," ")</f>
        <v>800</v>
      </c>
      <c r="H40" s="66" t="s">
        <v>25</v>
      </c>
      <c r="I40" s="66">
        <v>1E-3</v>
      </c>
      <c r="J40" s="66" t="s">
        <v>26</v>
      </c>
      <c r="K40" s="68">
        <v>5.7638888888888885E-2</v>
      </c>
      <c r="L40" s="78"/>
      <c r="M40" s="66" t="s">
        <v>99</v>
      </c>
      <c r="N40" s="69">
        <v>0.9224599</v>
      </c>
      <c r="O40" s="70">
        <v>0.84524848267571095</v>
      </c>
      <c r="P40" s="70">
        <v>0.92225201072385998</v>
      </c>
      <c r="Q40" s="70">
        <v>0.92266666666666597</v>
      </c>
      <c r="R40" s="70">
        <v>0.95717967000000004</v>
      </c>
      <c r="S40" s="70">
        <v>0.96378718535469099</v>
      </c>
      <c r="T40" s="70">
        <v>0.92513369999999995</v>
      </c>
      <c r="U40" s="70">
        <v>0.85074370709382097</v>
      </c>
      <c r="V40" s="70">
        <v>0.925133689839572</v>
      </c>
      <c r="W40" s="70">
        <v>0.925133689839572</v>
      </c>
      <c r="X40" s="70">
        <v>0.97082380000000001</v>
      </c>
      <c r="Y40" s="70">
        <v>0.97090961098398099</v>
      </c>
      <c r="Z40" s="79">
        <f>_xlfn.XLOOKUP(ExpPlan[[#This Row],[Dataset (.h5)]],Andeler[Datasett (.h5)],Andeler[total]," ")</f>
        <v>1498</v>
      </c>
      <c r="AA40" s="71">
        <f>IFERROR(_xlfn.XLOOKUP(ExpPlan[[#This Row],[Dataset (.h5)]],Andeler[Datasett (.h5)],Andeler[Normale]," ")/ExpPlan[[#This Row],[Number of samples]]," ")</f>
        <v>0.49265687583444595</v>
      </c>
      <c r="AB40" s="71">
        <f>IFERROR(_xlfn.XLOOKUP(ExpPlan[[#This Row],[Dataset (.h5)]],Andeler[Datasett (.h5)],Andeler[1 artrose]," ")/ExpPlan[[#This Row],[Number of samples]]," ")</f>
        <v>0.13551401869158877</v>
      </c>
      <c r="AC40" s="71">
        <f>IFERROR(_xlfn.XLOOKUP(ExpPlan[[#This Row],[Dataset (.h5)]],Andeler[Datasett (.h5)],Andeler[1 sklerose]," ")/ExpPlan[[#This Row],[Number of samples]]," ")</f>
        <v>1.9359145527369826E-2</v>
      </c>
      <c r="AD40" s="71">
        <f>IFERROR(_xlfn.XLOOKUP(ExpPlan[[#This Row],[Dataset (.h5)]],Andeler[Datasett (.h5)],Andeler[2 artrose]," ")/ExpPlan[[#This Row],[Number of samples]]," ")</f>
        <v>0.17423230974632845</v>
      </c>
      <c r="AE40" s="71">
        <f>IFERROR(_xlfn.XLOOKUP(ExpPlan[[#This Row],[Dataset (.h5)]],Andeler[Datasett (.h5)],Andeler[2 PL]," ")/ExpPlan[[#This Row],[Number of samples]]," ")</f>
        <v>3.4045393858477969E-2</v>
      </c>
      <c r="AF40" s="71">
        <f>IFERROR(_xlfn.XLOOKUP(ExpPlan[[#This Row],[Dataset (.h5)]],Andeler[Datasett (.h5)],Andeler[3 artrose]," ")/ExpPlan[[#This Row],[Number of samples]]," ")</f>
        <v>7.6101468624833107E-2</v>
      </c>
      <c r="AG40" s="71">
        <f>IFERROR(_xlfn.XLOOKUP(ExpPlan[[#This Row],[Dataset (.h5)]],Andeler[Datasett (.h5)],Andeler[3 MCD]," ")/ExpPlan[[#This Row],[Number of samples]]," ")</f>
        <v>4.4726301735647532E-2</v>
      </c>
      <c r="AH40" s="71">
        <f>IFERROR(_xlfn.XLOOKUP(ExpPlan[[#This Row],[Dataset (.h5)]],Andeler[Datasett (.h5)],Andeler[3 OCD]," ")/ExpPlan[[#This Row],[Number of samples]]," ")</f>
        <v>8.0106809078771702E-3</v>
      </c>
      <c r="AI40" s="71">
        <f>IFERROR(_xlfn.XLOOKUP(ExpPlan[[#This Row],[Dataset (.h5)]],Andeler[Datasett (.h5)],Andeler[3 UAP]," ")/ExpPlan[[#This Row],[Number of samples]]," ")</f>
        <v>1.5353805073431242E-2</v>
      </c>
      <c r="AJ40" s="71">
        <f>SUM(ExpPlan[[#This Row],[1 artrose]:[3 UAP]])</f>
        <v>0.50734312416555405</v>
      </c>
    </row>
    <row r="41" spans="2:36" ht="48" outlineLevel="1">
      <c r="B41" s="72">
        <v>11684998</v>
      </c>
      <c r="C41" s="89" t="s">
        <v>102</v>
      </c>
      <c r="D41" s="72" t="s">
        <v>24</v>
      </c>
      <c r="E41" s="74" t="s">
        <v>103</v>
      </c>
      <c r="F41" s="74"/>
      <c r="G41" s="72">
        <v>800</v>
      </c>
      <c r="H41" s="72" t="s">
        <v>25</v>
      </c>
      <c r="I41" s="74">
        <v>1E-3</v>
      </c>
      <c r="J41" s="72" t="s">
        <v>26</v>
      </c>
      <c r="K41" s="75"/>
      <c r="L41" s="81" t="s">
        <v>104</v>
      </c>
      <c r="M41" s="72"/>
      <c r="N41" s="76"/>
      <c r="O41" s="76"/>
      <c r="P41" s="76"/>
      <c r="Q41" s="76"/>
      <c r="R41" s="76"/>
      <c r="S41" s="76"/>
      <c r="T41" s="76"/>
      <c r="U41" s="76"/>
      <c r="V41" s="76"/>
      <c r="W41" s="76"/>
      <c r="X41" s="76"/>
      <c r="Y41" s="76"/>
      <c r="Z41" s="82" t="s">
        <v>105</v>
      </c>
      <c r="AA41" s="77">
        <v>0.5</v>
      </c>
      <c r="AB41" s="77">
        <v>0.2</v>
      </c>
      <c r="AC41" s="77">
        <v>0.04</v>
      </c>
      <c r="AD41" s="77">
        <v>0.09</v>
      </c>
      <c r="AE41" s="77">
        <v>0.05</v>
      </c>
      <c r="AF41" s="77">
        <v>0.03</v>
      </c>
      <c r="AG41" s="77">
        <v>7.0000000000000007E-2</v>
      </c>
      <c r="AH41" s="77">
        <v>0.01</v>
      </c>
      <c r="AI41" s="77">
        <v>0.01</v>
      </c>
      <c r="AJ41" s="77">
        <v>0.5</v>
      </c>
    </row>
    <row r="42" spans="2:36" ht="48" outlineLevel="1">
      <c r="B42" s="66">
        <v>11684999</v>
      </c>
      <c r="C42" s="88" t="s">
        <v>106</v>
      </c>
      <c r="D42" s="66" t="s">
        <v>33</v>
      </c>
      <c r="E42" s="66" t="s">
        <v>107</v>
      </c>
      <c r="F42" s="66"/>
      <c r="G42" s="66">
        <v>640</v>
      </c>
      <c r="H42" s="66" t="s">
        <v>25</v>
      </c>
      <c r="I42" s="66">
        <v>1E-3</v>
      </c>
      <c r="J42" s="66" t="s">
        <v>26</v>
      </c>
      <c r="K42" s="68">
        <v>7.7777777777777779E-2</v>
      </c>
      <c r="L42" s="78" t="s">
        <v>112</v>
      </c>
      <c r="M42" s="66" t="s">
        <v>114</v>
      </c>
      <c r="N42" s="69">
        <v>0.91626215</v>
      </c>
      <c r="O42" s="70">
        <v>0.77197255216343896</v>
      </c>
      <c r="P42" s="70">
        <v>0.82442748091603002</v>
      </c>
      <c r="Q42" s="70">
        <v>0.94501992031872495</v>
      </c>
      <c r="R42" s="70"/>
      <c r="S42" s="70"/>
      <c r="T42" s="70">
        <v>0.90886999999999996</v>
      </c>
      <c r="U42" s="70">
        <v>0.75358751052564599</v>
      </c>
      <c r="V42" s="70">
        <v>0.810126582278481</v>
      </c>
      <c r="W42" s="70">
        <v>0.94004796163069504</v>
      </c>
      <c r="X42" s="70"/>
      <c r="Y42" s="70"/>
      <c r="Z42" s="79" t="s">
        <v>108</v>
      </c>
      <c r="AA42" s="71">
        <v>0.22</v>
      </c>
      <c r="AB42" s="71">
        <v>0.3</v>
      </c>
      <c r="AC42" s="71">
        <v>0.06</v>
      </c>
      <c r="AD42" s="71">
        <v>0.16</v>
      </c>
      <c r="AE42" s="71">
        <v>7.0000000000000007E-2</v>
      </c>
      <c r="AF42" s="71">
        <v>7.0000000000000007E-2</v>
      </c>
      <c r="AG42" s="71">
        <v>0.1</v>
      </c>
      <c r="AH42" s="71">
        <v>0.01</v>
      </c>
      <c r="AI42" s="71">
        <v>0.01</v>
      </c>
      <c r="AJ42" s="71">
        <v>0.78</v>
      </c>
    </row>
    <row r="43" spans="2:36" ht="48" outlineLevel="1">
      <c r="B43" s="83">
        <v>11685020</v>
      </c>
      <c r="C43" s="84" t="s">
        <v>109</v>
      </c>
      <c r="D43" s="83" t="s">
        <v>24</v>
      </c>
      <c r="E43" s="83" t="s">
        <v>103</v>
      </c>
      <c r="F43" s="83"/>
      <c r="G43" s="83">
        <v>800</v>
      </c>
      <c r="H43" s="83" t="s">
        <v>25</v>
      </c>
      <c r="I43" s="83">
        <v>1E-3</v>
      </c>
      <c r="J43" s="83" t="s">
        <v>26</v>
      </c>
      <c r="K43" s="90">
        <v>6.0416666666666667E-2</v>
      </c>
      <c r="L43" s="83" t="s">
        <v>131</v>
      </c>
      <c r="M43" s="83" t="s">
        <v>130</v>
      </c>
      <c r="N43" s="86">
        <v>0.89918255999999996</v>
      </c>
      <c r="O43" s="86">
        <v>0.80262328099246005</v>
      </c>
      <c r="P43" s="86">
        <v>0.904392764857881</v>
      </c>
      <c r="Q43" s="86">
        <v>0.89337175792507195</v>
      </c>
      <c r="R43" s="86">
        <v>0.95610607000000003</v>
      </c>
      <c r="S43" s="86">
        <v>0.96032311712995899</v>
      </c>
      <c r="T43" s="86">
        <v>0.90735699999999997</v>
      </c>
      <c r="U43" s="86">
        <v>0.81778463489876096</v>
      </c>
      <c r="V43" s="86">
        <v>0.91145833333333304</v>
      </c>
      <c r="W43" s="86">
        <v>0.90285714285714203</v>
      </c>
      <c r="X43" s="86">
        <v>0.95497739999999998</v>
      </c>
      <c r="Y43" s="86">
        <v>0.96091708244238505</v>
      </c>
      <c r="Z43" s="83">
        <v>1468</v>
      </c>
      <c r="AA43" s="83">
        <v>0.5</v>
      </c>
      <c r="AB43" s="83">
        <v>0.2</v>
      </c>
      <c r="AC43" s="83">
        <v>0.04</v>
      </c>
      <c r="AD43" s="83">
        <v>0.09</v>
      </c>
      <c r="AE43" s="83">
        <v>0.05</v>
      </c>
      <c r="AF43" s="83">
        <v>0.03</v>
      </c>
      <c r="AG43" s="83">
        <v>7.0000000000000007E-2</v>
      </c>
      <c r="AH43" s="83">
        <v>0.01</v>
      </c>
      <c r="AI43" s="83">
        <v>0.01</v>
      </c>
      <c r="AJ43" s="83">
        <v>0.5</v>
      </c>
    </row>
    <row r="44" spans="2:36" ht="48" outlineLevel="1">
      <c r="B44" s="66">
        <v>11685021</v>
      </c>
      <c r="C44" s="67" t="s">
        <v>110</v>
      </c>
      <c r="D44" s="66" t="s">
        <v>33</v>
      </c>
      <c r="E44" s="78" t="s">
        <v>111</v>
      </c>
      <c r="F44" s="78"/>
      <c r="G44" s="66">
        <v>640</v>
      </c>
      <c r="H44" s="66" t="s">
        <v>25</v>
      </c>
      <c r="I44" s="66">
        <v>5.0000000000000001E-4</v>
      </c>
      <c r="J44" s="66" t="s">
        <v>26</v>
      </c>
      <c r="K44" s="68">
        <v>8.1944444444444445E-2</v>
      </c>
      <c r="L44" s="78" t="s">
        <v>112</v>
      </c>
      <c r="M44" s="66" t="s">
        <v>113</v>
      </c>
      <c r="N44" s="69">
        <v>0.91626215</v>
      </c>
      <c r="O44" s="70">
        <v>0.757308895689353</v>
      </c>
      <c r="P44" s="70">
        <v>0.81095890410958904</v>
      </c>
      <c r="Q44" s="70">
        <v>0.94621979734996098</v>
      </c>
      <c r="R44" s="70">
        <v>0.93730069999999999</v>
      </c>
      <c r="S44" s="70">
        <v>0.95752654062513198</v>
      </c>
      <c r="T44" s="86">
        <v>0.92223569999999999</v>
      </c>
      <c r="U44" s="86">
        <v>0.77208100862406104</v>
      </c>
      <c r="V44" s="86">
        <v>0.82122905027932902</v>
      </c>
      <c r="W44" s="86">
        <v>0.95031055900621098</v>
      </c>
      <c r="X44" s="86">
        <v>0.94375980000000004</v>
      </c>
      <c r="Y44" s="86">
        <v>0.96256038647343001</v>
      </c>
      <c r="Z44" s="79">
        <v>3295</v>
      </c>
      <c r="AA44" s="71">
        <v>0.22397572099999999</v>
      </c>
      <c r="AB44" s="71">
        <v>0.30166919599999997</v>
      </c>
      <c r="AC44" s="71">
        <v>5.7966615999999999E-2</v>
      </c>
      <c r="AD44" s="71">
        <v>0.15872534099999999</v>
      </c>
      <c r="AE44" s="71">
        <v>6.5857360000000004E-2</v>
      </c>
      <c r="AF44" s="71">
        <v>6.5553869000000001E-2</v>
      </c>
      <c r="AG44" s="71">
        <v>0.101669196</v>
      </c>
      <c r="AH44" s="71">
        <v>9.7116839999999999E-3</v>
      </c>
      <c r="AI44" s="71">
        <v>1.4871017E-2</v>
      </c>
      <c r="AJ44" s="71">
        <v>0.77602427900000004</v>
      </c>
    </row>
    <row r="45" spans="2:36" ht="64" outlineLevel="1">
      <c r="B45" s="66">
        <v>11685982</v>
      </c>
      <c r="C45" s="67" t="s">
        <v>115</v>
      </c>
      <c r="D45" s="66" t="s">
        <v>24</v>
      </c>
      <c r="E45" s="78" t="str">
        <f>_xlfn.TEXTJOIN("_",TRUE,ExpPlan[[#This Row],[Complexity]],ExpPlan[[#This Row],[Dataset (.h5)]],ExpPlan[[#This Row],[Learning rate]])</f>
        <v>B1_normal_abnormal20_0.0005</v>
      </c>
      <c r="F45" s="78"/>
      <c r="G45" s="66">
        <f>_xlfn.XLOOKUP(ExpPlan[[#This Row],[Dataset (.h5)]],Andeler[Datasett (.h5)],Andeler[resize_shape]," ")</f>
        <v>800</v>
      </c>
      <c r="H45" s="66" t="s">
        <v>35</v>
      </c>
      <c r="I45" s="66">
        <v>5.0000000000000001E-4</v>
      </c>
      <c r="J45" s="66" t="s">
        <v>26</v>
      </c>
      <c r="K45" s="68">
        <v>0.11180555555555556</v>
      </c>
      <c r="L45" s="78" t="s">
        <v>132</v>
      </c>
      <c r="M45" s="66" t="s">
        <v>91</v>
      </c>
      <c r="N45" s="69">
        <v>0.91008173999999997</v>
      </c>
      <c r="O45" s="70">
        <v>0.82077814561807305</v>
      </c>
      <c r="P45" s="70">
        <v>0.90858725761772796</v>
      </c>
      <c r="Q45" s="70">
        <v>0.91152815013404798</v>
      </c>
      <c r="R45" s="70">
        <v>0.96905450000000004</v>
      </c>
      <c r="S45" s="70">
        <v>0.97641957709669702</v>
      </c>
      <c r="T45" s="86">
        <v>0.92370569999999996</v>
      </c>
      <c r="U45" s="86">
        <v>0.84745612026689199</v>
      </c>
      <c r="V45" s="86">
        <v>0.92432432432432399</v>
      </c>
      <c r="W45" s="86">
        <v>0.92307692307692302</v>
      </c>
      <c r="X45" s="86">
        <v>0.95879349999999997</v>
      </c>
      <c r="Y45" s="86">
        <v>0.97098479448800201</v>
      </c>
      <c r="Z45" s="79">
        <f>_xlfn.XLOOKUP(ExpPlan[[#This Row],[Dataset (.h5)]],Andeler[Datasett (.h5)],Andeler[total]," ")</f>
        <v>1468</v>
      </c>
      <c r="AA45" s="71">
        <f>IFERROR(_xlfn.XLOOKUP(ExpPlan[[#This Row],[Dataset (.h5)]],Andeler[Datasett (.h5)],Andeler[Normale]," ")/ExpPlan[[#This Row],[Number of samples]]," ")</f>
        <v>0.50272479564032702</v>
      </c>
      <c r="AB45" s="71">
        <f>IFERROR(_xlfn.XLOOKUP(ExpPlan[[#This Row],[Dataset (.h5)]],Andeler[Datasett (.h5)],Andeler[1 artrose]," ")/ExpPlan[[#This Row],[Number of samples]]," ")</f>
        <v>0.20027247956403268</v>
      </c>
      <c r="AC45" s="71">
        <f>IFERROR(_xlfn.XLOOKUP(ExpPlan[[#This Row],[Dataset (.h5)]],Andeler[Datasett (.h5)],Andeler[1 sklerose]," ")/ExpPlan[[#This Row],[Number of samples]]," ")</f>
        <v>4.2915531335149866E-2</v>
      </c>
      <c r="AD45" s="71">
        <f>IFERROR(_xlfn.XLOOKUP(ExpPlan[[#This Row],[Dataset (.h5)]],Andeler[Datasett (.h5)],Andeler[2 artrose]," ")/ExpPlan[[#This Row],[Number of samples]]," ")</f>
        <v>8.7874659400544966E-2</v>
      </c>
      <c r="AE45" s="71">
        <f>IFERROR(_xlfn.XLOOKUP(ExpPlan[[#This Row],[Dataset (.h5)]],Andeler[Datasett (.h5)],Andeler[2 PL]," ")/ExpPlan[[#This Row],[Number of samples]]," ")</f>
        <v>4.9727520435967301E-2</v>
      </c>
      <c r="AF45" s="71">
        <f>IFERROR(_xlfn.XLOOKUP(ExpPlan[[#This Row],[Dataset (.h5)]],Andeler[Datasett (.h5)],Andeler[3 artrose]," ")/ExpPlan[[#This Row],[Number of samples]]," ")</f>
        <v>3.2697547683923703E-2</v>
      </c>
      <c r="AG45" s="71">
        <f>IFERROR(_xlfn.XLOOKUP(ExpPlan[[#This Row],[Dataset (.h5)]],Andeler[Datasett (.h5)],Andeler[3 MCD]," ")/ExpPlan[[#This Row],[Number of samples]]," ")</f>
        <v>7.0163487738419614E-2</v>
      </c>
      <c r="AH45" s="71">
        <f>IFERROR(_xlfn.XLOOKUP(ExpPlan[[#This Row],[Dataset (.h5)]],Andeler[Datasett (.h5)],Andeler[3 OCD]," ")/ExpPlan[[#This Row],[Number of samples]]," ")</f>
        <v>7.4931880108991822E-3</v>
      </c>
      <c r="AI45" s="71">
        <f>IFERROR(_xlfn.XLOOKUP(ExpPlan[[#This Row],[Dataset (.h5)]],Andeler[Datasett (.h5)],Andeler[3 UAP]," ")/ExpPlan[[#This Row],[Number of samples]]," ")</f>
        <v>6.1307901907356951E-3</v>
      </c>
      <c r="AJ45" s="71">
        <f>SUM(ExpPlan[[#This Row],[1 artrose]:[3 UAP]])</f>
        <v>0.49727520435967298</v>
      </c>
    </row>
    <row r="46" spans="2:36" ht="65" outlineLevel="1" thickBot="1">
      <c r="B46" s="66">
        <v>11692657</v>
      </c>
      <c r="C46" s="67" t="s">
        <v>128</v>
      </c>
      <c r="D46" s="66" t="s">
        <v>24</v>
      </c>
      <c r="E46" s="66" t="str">
        <f>_xlfn.TEXTJOIN("_",TRUE,ExpPlan[[#This Row],[Complexity]],ExpPlan[[#This Row],[Dataset (.h5)]],ExpPlan[[#This Row],[Learning rate]])</f>
        <v>B1_normal_abnormal20_0.001</v>
      </c>
      <c r="F46" s="66"/>
      <c r="G46" s="66">
        <f>_xlfn.XLOOKUP(ExpPlan[[#This Row],[Dataset (.h5)]],Andeler[Datasett (.h5)],Andeler[resize_shape]," ")</f>
        <v>800</v>
      </c>
      <c r="H46" s="66" t="s">
        <v>35</v>
      </c>
      <c r="I46" s="66">
        <v>1E-3</v>
      </c>
      <c r="J46" s="66" t="s">
        <v>26</v>
      </c>
      <c r="K46" s="68">
        <v>7.6527777777777778E-2</v>
      </c>
      <c r="L46" s="78" t="s">
        <v>116</v>
      </c>
      <c r="M46" s="66" t="s">
        <v>133</v>
      </c>
      <c r="N46" s="69">
        <v>0.90190740000000003</v>
      </c>
      <c r="O46" s="70">
        <v>0.80386682937652798</v>
      </c>
      <c r="P46" s="70">
        <v>0.90163934426229497</v>
      </c>
      <c r="Q46" s="70">
        <v>0.90217391304347805</v>
      </c>
      <c r="R46" s="70">
        <v>0.95748690000000003</v>
      </c>
      <c r="S46" s="70">
        <v>0.96651520551199799</v>
      </c>
      <c r="T46" s="86">
        <v>0.90735699999999997</v>
      </c>
      <c r="U46" s="86">
        <v>0.81475541622547099</v>
      </c>
      <c r="V46" s="86">
        <v>0.90810810810810805</v>
      </c>
      <c r="W46" s="86">
        <v>0.90659340659340604</v>
      </c>
      <c r="X46" s="86">
        <v>0.94632039999999995</v>
      </c>
      <c r="Y46" s="86">
        <v>0.95934307436445698</v>
      </c>
      <c r="Z46" s="79">
        <f>_xlfn.XLOOKUP(ExpPlan[[#This Row],[Dataset (.h5)]],Andeler[Datasett (.h5)],Andeler[total]," ")</f>
        <v>1468</v>
      </c>
      <c r="AA46" s="71">
        <f>IFERROR(_xlfn.XLOOKUP(ExpPlan[[#This Row],[Dataset (.h5)]],Andeler[Datasett (.h5)],Andeler[Normale]," ")/ExpPlan[[#This Row],[Number of samples]]," ")</f>
        <v>0.50272479564032702</v>
      </c>
      <c r="AB46" s="71">
        <f>IFERROR(_xlfn.XLOOKUP(ExpPlan[[#This Row],[Dataset (.h5)]],Andeler[Datasett (.h5)],Andeler[1 artrose]," ")/ExpPlan[[#This Row],[Number of samples]]," ")</f>
        <v>0.20027247956403268</v>
      </c>
      <c r="AC46" s="71">
        <f>IFERROR(_xlfn.XLOOKUP(ExpPlan[[#This Row],[Dataset (.h5)]],Andeler[Datasett (.h5)],Andeler[1 sklerose]," ")/ExpPlan[[#This Row],[Number of samples]]," ")</f>
        <v>4.2915531335149866E-2</v>
      </c>
      <c r="AD46" s="71">
        <f>IFERROR(_xlfn.XLOOKUP(ExpPlan[[#This Row],[Dataset (.h5)]],Andeler[Datasett (.h5)],Andeler[2 artrose]," ")/ExpPlan[[#This Row],[Number of samples]]," ")</f>
        <v>8.7874659400544966E-2</v>
      </c>
      <c r="AE46" s="71">
        <f>IFERROR(_xlfn.XLOOKUP(ExpPlan[[#This Row],[Dataset (.h5)]],Andeler[Datasett (.h5)],Andeler[2 PL]," ")/ExpPlan[[#This Row],[Number of samples]]," ")</f>
        <v>4.9727520435967301E-2</v>
      </c>
      <c r="AF46" s="71">
        <f>IFERROR(_xlfn.XLOOKUP(ExpPlan[[#This Row],[Dataset (.h5)]],Andeler[Datasett (.h5)],Andeler[3 artrose]," ")/ExpPlan[[#This Row],[Number of samples]]," ")</f>
        <v>3.2697547683923703E-2</v>
      </c>
      <c r="AG46" s="71">
        <f>IFERROR(_xlfn.XLOOKUP(ExpPlan[[#This Row],[Dataset (.h5)]],Andeler[Datasett (.h5)],Andeler[3 MCD]," ")/ExpPlan[[#This Row],[Number of samples]]," ")</f>
        <v>7.0163487738419614E-2</v>
      </c>
      <c r="AH46" s="71">
        <f>IFERROR(_xlfn.XLOOKUP(ExpPlan[[#This Row],[Dataset (.h5)]],Andeler[Datasett (.h5)],Andeler[3 OCD]," ")/ExpPlan[[#This Row],[Number of samples]]," ")</f>
        <v>7.4931880108991822E-3</v>
      </c>
      <c r="AI46" s="71">
        <f>IFERROR(_xlfn.XLOOKUP(ExpPlan[[#This Row],[Dataset (.h5)]],Andeler[Datasett (.h5)],Andeler[3 UAP]," ")/ExpPlan[[#This Row],[Number of samples]]," ")</f>
        <v>6.1307901907356951E-3</v>
      </c>
      <c r="AJ46" s="71">
        <f>SUM(ExpPlan[[#This Row],[1 artrose]:[3 UAP]])</f>
        <v>0.49727520435967298</v>
      </c>
    </row>
    <row r="47" spans="2:36" ht="49" outlineLevel="1" thickTop="1">
      <c r="B47" s="57">
        <v>11692720</v>
      </c>
      <c r="C47" s="58" t="s">
        <v>135</v>
      </c>
      <c r="D47" s="57" t="s">
        <v>76</v>
      </c>
      <c r="E47" s="57" t="str">
        <f>_xlfn.TEXTJOIN("_",TRUE,ExpPlan[[#This Row],[Complexity]],ExpPlan[[#This Row],[Dataset (.h5)]],ExpPlan[[#This Row],[Learning rate]])</f>
        <v>B2_normal_abnormal21_0.001</v>
      </c>
      <c r="F47" s="57">
        <v>16</v>
      </c>
      <c r="G47" s="57">
        <f>_xlfn.XLOOKUP(ExpPlan[[#This Row],[Dataset (.h5)]],Andeler[Datasett (.h5)],Andeler[resize_shape]," ")</f>
        <v>800</v>
      </c>
      <c r="H47" s="57" t="s">
        <v>25</v>
      </c>
      <c r="I47" s="57">
        <v>1E-3</v>
      </c>
      <c r="J47" s="57" t="s">
        <v>26</v>
      </c>
      <c r="K47" s="59">
        <v>4.2326388888888893E-2</v>
      </c>
      <c r="L47" s="60" t="s">
        <v>134</v>
      </c>
      <c r="M47" s="57" t="s">
        <v>136</v>
      </c>
      <c r="N47" s="61">
        <v>0.91711229999999999</v>
      </c>
      <c r="O47" s="62">
        <v>0.83486619502190995</v>
      </c>
      <c r="P47" s="62">
        <v>0.917333333333333</v>
      </c>
      <c r="Q47" s="62">
        <v>0.91689008042895404</v>
      </c>
      <c r="R47" s="62">
        <v>0.95054346000000001</v>
      </c>
      <c r="S47" s="62">
        <v>0.95869565217391295</v>
      </c>
      <c r="T47" s="63">
        <v>0.90374330000000003</v>
      </c>
      <c r="U47" s="63">
        <v>0.80795194508009105</v>
      </c>
      <c r="V47" s="63">
        <v>0.90374331550802101</v>
      </c>
      <c r="W47" s="63">
        <v>0.90374331550802101</v>
      </c>
      <c r="X47" s="63">
        <v>0.96337247000000004</v>
      </c>
      <c r="Y47" s="63">
        <v>0.96636155606407304</v>
      </c>
      <c r="Z47" s="64">
        <f>_xlfn.XLOOKUP(ExpPlan[[#This Row],[Dataset (.h5)]],Andeler[Datasett (.h5)],Andeler[total]," ")</f>
        <v>1498</v>
      </c>
      <c r="AA47" s="65">
        <f>IFERROR(_xlfn.XLOOKUP(ExpPlan[[#This Row],[Dataset (.h5)]],Andeler[Datasett (.h5)],Andeler[Normale]," ")/ExpPlan[[#This Row],[Number of samples]]," ")</f>
        <v>0.49265687583444595</v>
      </c>
      <c r="AB47" s="65">
        <f>IFERROR(_xlfn.XLOOKUP(ExpPlan[[#This Row],[Dataset (.h5)]],Andeler[Datasett (.h5)],Andeler[1 artrose]," ")/ExpPlan[[#This Row],[Number of samples]]," ")</f>
        <v>0.13551401869158877</v>
      </c>
      <c r="AC47" s="65">
        <f>IFERROR(_xlfn.XLOOKUP(ExpPlan[[#This Row],[Dataset (.h5)]],Andeler[Datasett (.h5)],Andeler[1 sklerose]," ")/ExpPlan[[#This Row],[Number of samples]]," ")</f>
        <v>1.9359145527369826E-2</v>
      </c>
      <c r="AD47" s="65">
        <f>IFERROR(_xlfn.XLOOKUP(ExpPlan[[#This Row],[Dataset (.h5)]],Andeler[Datasett (.h5)],Andeler[2 artrose]," ")/ExpPlan[[#This Row],[Number of samples]]," ")</f>
        <v>0.17423230974632845</v>
      </c>
      <c r="AE47" s="65">
        <f>IFERROR(_xlfn.XLOOKUP(ExpPlan[[#This Row],[Dataset (.h5)]],Andeler[Datasett (.h5)],Andeler[2 PL]," ")/ExpPlan[[#This Row],[Number of samples]]," ")</f>
        <v>3.4045393858477969E-2</v>
      </c>
      <c r="AF47" s="65">
        <f>IFERROR(_xlfn.XLOOKUP(ExpPlan[[#This Row],[Dataset (.h5)]],Andeler[Datasett (.h5)],Andeler[3 artrose]," ")/ExpPlan[[#This Row],[Number of samples]]," ")</f>
        <v>7.6101468624833107E-2</v>
      </c>
      <c r="AG47" s="65">
        <f>IFERROR(_xlfn.XLOOKUP(ExpPlan[[#This Row],[Dataset (.h5)]],Andeler[Datasett (.h5)],Andeler[3 MCD]," ")/ExpPlan[[#This Row],[Number of samples]]," ")</f>
        <v>4.4726301735647532E-2</v>
      </c>
      <c r="AH47" s="65">
        <f>IFERROR(_xlfn.XLOOKUP(ExpPlan[[#This Row],[Dataset (.h5)]],Andeler[Datasett (.h5)],Andeler[3 OCD]," ")/ExpPlan[[#This Row],[Number of samples]]," ")</f>
        <v>8.0106809078771702E-3</v>
      </c>
      <c r="AI47" s="65">
        <f>IFERROR(_xlfn.XLOOKUP(ExpPlan[[#This Row],[Dataset (.h5)]],Andeler[Datasett (.h5)],Andeler[3 UAP]," ")/ExpPlan[[#This Row],[Number of samples]]," ")</f>
        <v>1.5353805073431242E-2</v>
      </c>
      <c r="AJ47" s="65">
        <f>SUM(ExpPlan[[#This Row],[1 artrose]:[3 UAP]])</f>
        <v>0.50734312416555405</v>
      </c>
    </row>
    <row r="48" spans="2:36" ht="64" outlineLevel="1">
      <c r="B48" s="17">
        <v>11692782</v>
      </c>
      <c r="C48" s="31" t="s">
        <v>137</v>
      </c>
      <c r="D48" s="17" t="s">
        <v>24</v>
      </c>
      <c r="E48" s="2" t="str">
        <f>_xlfn.TEXTJOIN("_",TRUE,ExpPlan[[#This Row],[Complexity]],ExpPlan[[#This Row],[Dataset (.h5)]],ExpPlan[[#This Row],[Learning rate]])</f>
        <v>B1_normal_abnormal20_0.0005</v>
      </c>
      <c r="F48" s="2">
        <v>16</v>
      </c>
      <c r="G48" s="17">
        <f>_xlfn.XLOOKUP(ExpPlan[[#This Row],[Dataset (.h5)]],Andeler[Datasett (.h5)],Andeler[resize_shape]," ")</f>
        <v>800</v>
      </c>
      <c r="H48" s="17" t="s">
        <v>35</v>
      </c>
      <c r="I48" s="17">
        <v>5.0000000000000001E-4</v>
      </c>
      <c r="J48" s="17" t="s">
        <v>26</v>
      </c>
      <c r="K48" s="45">
        <v>7.6863425925925918E-2</v>
      </c>
      <c r="L48" s="2" t="s">
        <v>134</v>
      </c>
      <c r="M48" s="17" t="s">
        <v>133</v>
      </c>
      <c r="N48" s="27">
        <v>0.91008173999999997</v>
      </c>
      <c r="O48" s="42">
        <v>0.82045347899105403</v>
      </c>
      <c r="P48" s="42">
        <v>0.91152815013404798</v>
      </c>
      <c r="Q48" s="42">
        <v>0.90858725761772796</v>
      </c>
      <c r="R48" s="42">
        <v>0.94689953000000004</v>
      </c>
      <c r="S48" s="42">
        <v>0.96015977666904195</v>
      </c>
      <c r="T48" s="40">
        <v>0.93188009999999999</v>
      </c>
      <c r="U48" s="40">
        <v>0.86529358089644404</v>
      </c>
      <c r="V48" s="40">
        <v>0.93403693931398402</v>
      </c>
      <c r="W48" s="40">
        <v>0.92957746478873204</v>
      </c>
      <c r="X48" s="40">
        <v>0.96693105000000001</v>
      </c>
      <c r="Y48" s="40">
        <v>0.97380612972202396</v>
      </c>
      <c r="Z48" s="35">
        <f>_xlfn.XLOOKUP(ExpPlan[[#This Row],[Dataset (.h5)]],Andeler[Datasett (.h5)],Andeler[total]," ")</f>
        <v>1468</v>
      </c>
      <c r="AA48" s="28">
        <f>IFERROR(_xlfn.XLOOKUP(ExpPlan[[#This Row],[Dataset (.h5)]],Andeler[Datasett (.h5)],Andeler[Normale]," ")/ExpPlan[[#This Row],[Number of samples]]," ")</f>
        <v>0.50272479564032702</v>
      </c>
      <c r="AB48" s="28">
        <f>IFERROR(_xlfn.XLOOKUP(ExpPlan[[#This Row],[Dataset (.h5)]],Andeler[Datasett (.h5)],Andeler[1 artrose]," ")/ExpPlan[[#This Row],[Number of samples]]," ")</f>
        <v>0.20027247956403268</v>
      </c>
      <c r="AC48" s="28">
        <f>IFERROR(_xlfn.XLOOKUP(ExpPlan[[#This Row],[Dataset (.h5)]],Andeler[Datasett (.h5)],Andeler[1 sklerose]," ")/ExpPlan[[#This Row],[Number of samples]]," ")</f>
        <v>4.2915531335149866E-2</v>
      </c>
      <c r="AD48" s="28">
        <f>IFERROR(_xlfn.XLOOKUP(ExpPlan[[#This Row],[Dataset (.h5)]],Andeler[Datasett (.h5)],Andeler[2 artrose]," ")/ExpPlan[[#This Row],[Number of samples]]," ")</f>
        <v>8.7874659400544966E-2</v>
      </c>
      <c r="AE48" s="28">
        <f>IFERROR(_xlfn.XLOOKUP(ExpPlan[[#This Row],[Dataset (.h5)]],Andeler[Datasett (.h5)],Andeler[2 PL]," ")/ExpPlan[[#This Row],[Number of samples]]," ")</f>
        <v>4.9727520435967301E-2</v>
      </c>
      <c r="AF48" s="28">
        <f>IFERROR(_xlfn.XLOOKUP(ExpPlan[[#This Row],[Dataset (.h5)]],Andeler[Datasett (.h5)],Andeler[3 artrose]," ")/ExpPlan[[#This Row],[Number of samples]]," ")</f>
        <v>3.2697547683923703E-2</v>
      </c>
      <c r="AG48" s="28">
        <f>IFERROR(_xlfn.XLOOKUP(ExpPlan[[#This Row],[Dataset (.h5)]],Andeler[Datasett (.h5)],Andeler[3 MCD]," ")/ExpPlan[[#This Row],[Number of samples]]," ")</f>
        <v>7.0163487738419614E-2</v>
      </c>
      <c r="AH48" s="28">
        <f>IFERROR(_xlfn.XLOOKUP(ExpPlan[[#This Row],[Dataset (.h5)]],Andeler[Datasett (.h5)],Andeler[3 OCD]," ")/ExpPlan[[#This Row],[Number of samples]]," ")</f>
        <v>7.4931880108991822E-3</v>
      </c>
      <c r="AI48" s="28">
        <f>IFERROR(_xlfn.XLOOKUP(ExpPlan[[#This Row],[Dataset (.h5)]],Andeler[Datasett (.h5)],Andeler[3 UAP]," ")/ExpPlan[[#This Row],[Number of samples]]," ")</f>
        <v>6.1307901907356951E-3</v>
      </c>
      <c r="AJ48" s="28">
        <f>SUM(ExpPlan[[#This Row],[1 artrose]:[3 UAP]])</f>
        <v>0.49727520435967298</v>
      </c>
    </row>
    <row r="49" spans="2:36" ht="64" outlineLevel="1">
      <c r="B49" s="17">
        <v>11692788</v>
      </c>
      <c r="C49" s="31" t="s">
        <v>138</v>
      </c>
      <c r="D49" s="17" t="s">
        <v>24</v>
      </c>
      <c r="E49" s="17" t="str">
        <f>_xlfn.TEXTJOIN("_",TRUE,ExpPlan[[#This Row],[Complexity]],ExpPlan[[#This Row],[Dataset (.h5)]],ExpPlan[[#This Row],[Learning rate]])</f>
        <v>B1_normal_abnormal20_0.001</v>
      </c>
      <c r="F49" s="17"/>
      <c r="G49" s="17">
        <f>_xlfn.XLOOKUP(ExpPlan[[#This Row],[Dataset (.h5)]],Andeler[Datasett (.h5)],Andeler[resize_shape]," ")</f>
        <v>800</v>
      </c>
      <c r="H49" s="17" t="s">
        <v>35</v>
      </c>
      <c r="I49" s="17">
        <v>1E-3</v>
      </c>
      <c r="J49" s="17" t="s">
        <v>26</v>
      </c>
      <c r="K49" s="45">
        <v>7.7002314814814815E-2</v>
      </c>
      <c r="L49" s="2"/>
      <c r="M49" s="17" t="s">
        <v>139</v>
      </c>
      <c r="N49" s="27">
        <v>0.89100820000000003</v>
      </c>
      <c r="O49" s="42">
        <v>0.782014730339748</v>
      </c>
      <c r="P49" s="42">
        <v>0.89130434782608603</v>
      </c>
      <c r="Q49" s="42">
        <v>0.89071038251366097</v>
      </c>
      <c r="R49" s="42">
        <v>0.92625930000000001</v>
      </c>
      <c r="S49" s="42">
        <v>0.94538488952245203</v>
      </c>
      <c r="T49" s="40">
        <v>0.89918255999999996</v>
      </c>
      <c r="U49" s="40">
        <v>0.79846136835111303</v>
      </c>
      <c r="V49" s="40">
        <v>0.900269541778975</v>
      </c>
      <c r="W49" s="40">
        <v>0.89807162534435203</v>
      </c>
      <c r="X49" s="40">
        <v>0.94753790000000004</v>
      </c>
      <c r="Y49" s="40">
        <v>0.96400570206699898</v>
      </c>
      <c r="Z49" s="35">
        <f>_xlfn.XLOOKUP(ExpPlan[[#This Row],[Dataset (.h5)]],Andeler[Datasett (.h5)],Andeler[total]," ")</f>
        <v>1468</v>
      </c>
      <c r="AA49" s="28">
        <f>IFERROR(_xlfn.XLOOKUP(ExpPlan[[#This Row],[Dataset (.h5)]],Andeler[Datasett (.h5)],Andeler[Normale]," ")/ExpPlan[[#This Row],[Number of samples]]," ")</f>
        <v>0.50272479564032702</v>
      </c>
      <c r="AB49" s="28">
        <f>IFERROR(_xlfn.XLOOKUP(ExpPlan[[#This Row],[Dataset (.h5)]],Andeler[Datasett (.h5)],Andeler[1 artrose]," ")/ExpPlan[[#This Row],[Number of samples]]," ")</f>
        <v>0.20027247956403268</v>
      </c>
      <c r="AC49" s="28">
        <f>IFERROR(_xlfn.XLOOKUP(ExpPlan[[#This Row],[Dataset (.h5)]],Andeler[Datasett (.h5)],Andeler[1 sklerose]," ")/ExpPlan[[#This Row],[Number of samples]]," ")</f>
        <v>4.2915531335149866E-2</v>
      </c>
      <c r="AD49" s="28">
        <f>IFERROR(_xlfn.XLOOKUP(ExpPlan[[#This Row],[Dataset (.h5)]],Andeler[Datasett (.h5)],Andeler[2 artrose]," ")/ExpPlan[[#This Row],[Number of samples]]," ")</f>
        <v>8.7874659400544966E-2</v>
      </c>
      <c r="AE49" s="28">
        <f>IFERROR(_xlfn.XLOOKUP(ExpPlan[[#This Row],[Dataset (.h5)]],Andeler[Datasett (.h5)],Andeler[2 PL]," ")/ExpPlan[[#This Row],[Number of samples]]," ")</f>
        <v>4.9727520435967301E-2</v>
      </c>
      <c r="AF49" s="28">
        <f>IFERROR(_xlfn.XLOOKUP(ExpPlan[[#This Row],[Dataset (.h5)]],Andeler[Datasett (.h5)],Andeler[3 artrose]," ")/ExpPlan[[#This Row],[Number of samples]]," ")</f>
        <v>3.2697547683923703E-2</v>
      </c>
      <c r="AG49" s="28">
        <f>IFERROR(_xlfn.XLOOKUP(ExpPlan[[#This Row],[Dataset (.h5)]],Andeler[Datasett (.h5)],Andeler[3 MCD]," ")/ExpPlan[[#This Row],[Number of samples]]," ")</f>
        <v>7.0163487738419614E-2</v>
      </c>
      <c r="AH49" s="28">
        <f>IFERROR(_xlfn.XLOOKUP(ExpPlan[[#This Row],[Dataset (.h5)]],Andeler[Datasett (.h5)],Andeler[3 OCD]," ")/ExpPlan[[#This Row],[Number of samples]]," ")</f>
        <v>7.4931880108991822E-3</v>
      </c>
      <c r="AI49" s="28">
        <f>IFERROR(_xlfn.XLOOKUP(ExpPlan[[#This Row],[Dataset (.h5)]],Andeler[Datasett (.h5)],Andeler[3 UAP]," ")/ExpPlan[[#This Row],[Number of samples]]," ")</f>
        <v>6.1307901907356951E-3</v>
      </c>
      <c r="AJ49" s="28">
        <f>SUM(ExpPlan[[#This Row],[1 artrose]:[3 UAP]])</f>
        <v>0.49727520435967298</v>
      </c>
    </row>
    <row r="50" spans="2:36" ht="48" outlineLevel="1">
      <c r="B50" s="17">
        <v>11692952</v>
      </c>
      <c r="C50" s="31" t="s">
        <v>140</v>
      </c>
      <c r="D50" s="17" t="s">
        <v>24</v>
      </c>
      <c r="E50" s="17" t="str">
        <f>_xlfn.TEXTJOIN("_",TRUE,ExpPlan[[#This Row],[Complexity]],ExpPlan[[#This Row],[Dataset (.h5)]],ExpPlan[[#This Row],[Learning rate]])</f>
        <v>B1_normal_abnormal20_0.005</v>
      </c>
      <c r="F50" s="17"/>
      <c r="G50" s="17">
        <f>_xlfn.XLOOKUP(ExpPlan[[#This Row],[Dataset (.h5)]],Andeler[Datasett (.h5)],Andeler[resize_shape]," ")</f>
        <v>800</v>
      </c>
      <c r="H50" s="17" t="s">
        <v>35</v>
      </c>
      <c r="I50" s="17">
        <v>5.0000000000000001E-3</v>
      </c>
      <c r="J50" s="17" t="s">
        <v>26</v>
      </c>
      <c r="K50" s="45">
        <v>5.6469907407407406E-2</v>
      </c>
      <c r="L50" s="2"/>
      <c r="M50" s="17" t="s">
        <v>141</v>
      </c>
      <c r="N50" s="27">
        <v>0.58310629999999997</v>
      </c>
      <c r="O50" s="42">
        <v>0.17237639956984999</v>
      </c>
      <c r="P50" s="42">
        <v>0.63484486873508295</v>
      </c>
      <c r="Q50" s="42">
        <v>0.51428571428571401</v>
      </c>
      <c r="R50" s="42">
        <v>0.61909009999999998</v>
      </c>
      <c r="S50" s="42">
        <v>0.61900095034449898</v>
      </c>
      <c r="T50" s="40">
        <v>0.60762939999999999</v>
      </c>
      <c r="U50" s="40">
        <v>0.218977934613551</v>
      </c>
      <c r="V50" s="40">
        <v>0.57142857142857095</v>
      </c>
      <c r="W50" s="40">
        <v>0.638190954773869</v>
      </c>
      <c r="X50" s="40">
        <v>0.66928010000000004</v>
      </c>
      <c r="Y50" s="40">
        <v>0.66910192444761196</v>
      </c>
      <c r="Z50" s="35">
        <f>_xlfn.XLOOKUP(ExpPlan[[#This Row],[Dataset (.h5)]],Andeler[Datasett (.h5)],Andeler[total]," ")</f>
        <v>1468</v>
      </c>
      <c r="AA50" s="28">
        <f>IFERROR(_xlfn.XLOOKUP(ExpPlan[[#This Row],[Dataset (.h5)]],Andeler[Datasett (.h5)],Andeler[Normale]," ")/ExpPlan[[#This Row],[Number of samples]]," ")</f>
        <v>0.50272479564032702</v>
      </c>
      <c r="AB50" s="28">
        <f>IFERROR(_xlfn.XLOOKUP(ExpPlan[[#This Row],[Dataset (.h5)]],Andeler[Datasett (.h5)],Andeler[1 artrose]," ")/ExpPlan[[#This Row],[Number of samples]]," ")</f>
        <v>0.20027247956403268</v>
      </c>
      <c r="AC50" s="28">
        <f>IFERROR(_xlfn.XLOOKUP(ExpPlan[[#This Row],[Dataset (.h5)]],Andeler[Datasett (.h5)],Andeler[1 sklerose]," ")/ExpPlan[[#This Row],[Number of samples]]," ")</f>
        <v>4.2915531335149866E-2</v>
      </c>
      <c r="AD50" s="28">
        <f>IFERROR(_xlfn.XLOOKUP(ExpPlan[[#This Row],[Dataset (.h5)]],Andeler[Datasett (.h5)],Andeler[2 artrose]," ")/ExpPlan[[#This Row],[Number of samples]]," ")</f>
        <v>8.7874659400544966E-2</v>
      </c>
      <c r="AE50" s="28">
        <f>IFERROR(_xlfn.XLOOKUP(ExpPlan[[#This Row],[Dataset (.h5)]],Andeler[Datasett (.h5)],Andeler[2 PL]," ")/ExpPlan[[#This Row],[Number of samples]]," ")</f>
        <v>4.9727520435967301E-2</v>
      </c>
      <c r="AF50" s="28">
        <f>IFERROR(_xlfn.XLOOKUP(ExpPlan[[#This Row],[Dataset (.h5)]],Andeler[Datasett (.h5)],Andeler[3 artrose]," ")/ExpPlan[[#This Row],[Number of samples]]," ")</f>
        <v>3.2697547683923703E-2</v>
      </c>
      <c r="AG50" s="28">
        <f>IFERROR(_xlfn.XLOOKUP(ExpPlan[[#This Row],[Dataset (.h5)]],Andeler[Datasett (.h5)],Andeler[3 MCD]," ")/ExpPlan[[#This Row],[Number of samples]]," ")</f>
        <v>7.0163487738419614E-2</v>
      </c>
      <c r="AH50" s="28">
        <f>IFERROR(_xlfn.XLOOKUP(ExpPlan[[#This Row],[Dataset (.h5)]],Andeler[Datasett (.h5)],Andeler[3 OCD]," ")/ExpPlan[[#This Row],[Number of samples]]," ")</f>
        <v>7.4931880108991822E-3</v>
      </c>
      <c r="AI50" s="28">
        <f>IFERROR(_xlfn.XLOOKUP(ExpPlan[[#This Row],[Dataset (.h5)]],Andeler[Datasett (.h5)],Andeler[3 UAP]," ")/ExpPlan[[#This Row],[Number of samples]]," ")</f>
        <v>6.1307901907356951E-3</v>
      </c>
      <c r="AJ50" s="28">
        <f>SUM(ExpPlan[[#This Row],[1 artrose]:[3 UAP]])</f>
        <v>0.49727520435967298</v>
      </c>
    </row>
    <row r="51" spans="2:36" ht="48" outlineLevel="1">
      <c r="B51" s="17">
        <v>11693049</v>
      </c>
      <c r="C51" s="31" t="s">
        <v>142</v>
      </c>
      <c r="D51" s="17" t="s">
        <v>24</v>
      </c>
      <c r="E51" s="17" t="str">
        <f>_xlfn.TEXTJOIN("_",TRUE,ExpPlan[[#This Row],[Complexity]],ExpPlan[[#This Row],[Dataset (.h5)]],ExpPlan[[#This Row],[Learning rate]])</f>
        <v>B1_normal_abnormal20_0.0001</v>
      </c>
      <c r="F51" s="17"/>
      <c r="G51" s="17">
        <f>_xlfn.XLOOKUP(ExpPlan[[#This Row],[Dataset (.h5)]],Andeler[Datasett (.h5)],Andeler[resize_shape]," ")</f>
        <v>800</v>
      </c>
      <c r="H51" s="17" t="s">
        <v>35</v>
      </c>
      <c r="I51" s="17">
        <v>1E-4</v>
      </c>
      <c r="J51" s="17" t="s">
        <v>26</v>
      </c>
      <c r="K51" s="45">
        <v>5.5775462962962964E-2</v>
      </c>
      <c r="L51" s="2"/>
      <c r="M51" s="17" t="s">
        <v>143</v>
      </c>
      <c r="N51" s="27">
        <v>0.86920980000000003</v>
      </c>
      <c r="O51" s="42">
        <v>0.73845377346215701</v>
      </c>
      <c r="P51" s="42">
        <v>0.87027027027027004</v>
      </c>
      <c r="Q51" s="42">
        <v>0.86813186813186805</v>
      </c>
      <c r="R51" s="42">
        <v>0.92144809999999999</v>
      </c>
      <c r="S51" s="42">
        <v>0.926853171774768</v>
      </c>
      <c r="T51" s="40">
        <v>0.83923703000000005</v>
      </c>
      <c r="U51" s="40">
        <v>0.67899927042821695</v>
      </c>
      <c r="V51" s="40">
        <v>0.83656509695290804</v>
      </c>
      <c r="W51" s="40">
        <v>0.84182305630026799</v>
      </c>
      <c r="X51" s="40">
        <v>0.92103225</v>
      </c>
      <c r="Y51" s="40">
        <v>0.92784806367308104</v>
      </c>
      <c r="Z51" s="35">
        <f>_xlfn.XLOOKUP(ExpPlan[[#This Row],[Dataset (.h5)]],Andeler[Datasett (.h5)],Andeler[total]," ")</f>
        <v>1468</v>
      </c>
      <c r="AA51" s="28">
        <f>IFERROR(_xlfn.XLOOKUP(ExpPlan[[#This Row],[Dataset (.h5)]],Andeler[Datasett (.h5)],Andeler[Normale]," ")/ExpPlan[[#This Row],[Number of samples]]," ")</f>
        <v>0.50272479564032702</v>
      </c>
      <c r="AB51" s="28">
        <f>IFERROR(_xlfn.XLOOKUP(ExpPlan[[#This Row],[Dataset (.h5)]],Andeler[Datasett (.h5)],Andeler[1 artrose]," ")/ExpPlan[[#This Row],[Number of samples]]," ")</f>
        <v>0.20027247956403268</v>
      </c>
      <c r="AC51" s="28">
        <f>IFERROR(_xlfn.XLOOKUP(ExpPlan[[#This Row],[Dataset (.h5)]],Andeler[Datasett (.h5)],Andeler[1 sklerose]," ")/ExpPlan[[#This Row],[Number of samples]]," ")</f>
        <v>4.2915531335149866E-2</v>
      </c>
      <c r="AD51" s="28">
        <f>IFERROR(_xlfn.XLOOKUP(ExpPlan[[#This Row],[Dataset (.h5)]],Andeler[Datasett (.h5)],Andeler[2 artrose]," ")/ExpPlan[[#This Row],[Number of samples]]," ")</f>
        <v>8.7874659400544966E-2</v>
      </c>
      <c r="AE51" s="28">
        <f>IFERROR(_xlfn.XLOOKUP(ExpPlan[[#This Row],[Dataset (.h5)]],Andeler[Datasett (.h5)],Andeler[2 PL]," ")/ExpPlan[[#This Row],[Number of samples]]," ")</f>
        <v>4.9727520435967301E-2</v>
      </c>
      <c r="AF51" s="28">
        <f>IFERROR(_xlfn.XLOOKUP(ExpPlan[[#This Row],[Dataset (.h5)]],Andeler[Datasett (.h5)],Andeler[3 artrose]," ")/ExpPlan[[#This Row],[Number of samples]]," ")</f>
        <v>3.2697547683923703E-2</v>
      </c>
      <c r="AG51" s="28">
        <f>IFERROR(_xlfn.XLOOKUP(ExpPlan[[#This Row],[Dataset (.h5)]],Andeler[Datasett (.h5)],Andeler[3 MCD]," ")/ExpPlan[[#This Row],[Number of samples]]," ")</f>
        <v>7.0163487738419614E-2</v>
      </c>
      <c r="AH51" s="28">
        <f>IFERROR(_xlfn.XLOOKUP(ExpPlan[[#This Row],[Dataset (.h5)]],Andeler[Datasett (.h5)],Andeler[3 OCD]," ")/ExpPlan[[#This Row],[Number of samples]]," ")</f>
        <v>7.4931880108991822E-3</v>
      </c>
      <c r="AI51" s="28">
        <f>IFERROR(_xlfn.XLOOKUP(ExpPlan[[#This Row],[Dataset (.h5)]],Andeler[Datasett (.h5)],Andeler[3 UAP]," ")/ExpPlan[[#This Row],[Number of samples]]," ")</f>
        <v>6.1307901907356951E-3</v>
      </c>
      <c r="AJ51" s="28">
        <f>SUM(ExpPlan[[#This Row],[1 artrose]:[3 UAP]])</f>
        <v>0.49727520435967298</v>
      </c>
    </row>
    <row r="52" spans="2:36" ht="48" outlineLevel="1">
      <c r="B52" s="32">
        <v>11693094</v>
      </c>
      <c r="C52" s="34" t="s">
        <v>144</v>
      </c>
      <c r="D52" s="32"/>
      <c r="E52" s="36" t="str">
        <f>_xlfn.TEXTJOIN("_",TRUE,ExpPlan[[#This Row],[Complexity]],ExpPlan[[#This Row],[Dataset (.h5)]],ExpPlan[[#This Row],[Learning rate]])</f>
        <v/>
      </c>
      <c r="F52" s="36"/>
      <c r="G52" s="32" t="str">
        <f>_xlfn.XLOOKUP(ExpPlan[[#This Row],[Dataset (.h5)]],Andeler[Datasett (.h5)],Andeler[resize_shape]," ")</f>
        <v xml:space="preserve"> </v>
      </c>
      <c r="H52" s="32"/>
      <c r="I52" s="36"/>
      <c r="J52" s="32"/>
      <c r="K52" s="46"/>
      <c r="L52" s="43" t="s">
        <v>145</v>
      </c>
      <c r="M52" s="32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7" t="str">
        <f>_xlfn.XLOOKUP(ExpPlan[[#This Row],[Dataset (.h5)]],Andeler[Datasett (.h5)],Andeler[total]," ")</f>
        <v xml:space="preserve"> </v>
      </c>
      <c r="AA52" s="29" t="str">
        <f>IFERROR(_xlfn.XLOOKUP(ExpPlan[[#This Row],[Dataset (.h5)]],Andeler[Datasett (.h5)],Andeler[Normale]," ")/ExpPlan[[#This Row],[Number of samples]]," ")</f>
        <v xml:space="preserve"> </v>
      </c>
      <c r="AB52" s="29" t="str">
        <f>IFERROR(_xlfn.XLOOKUP(ExpPlan[[#This Row],[Dataset (.h5)]],Andeler[Datasett (.h5)],Andeler[1 artrose]," ")/ExpPlan[[#This Row],[Number of samples]]," ")</f>
        <v xml:space="preserve"> </v>
      </c>
      <c r="AC52" s="29" t="str">
        <f>IFERROR(_xlfn.XLOOKUP(ExpPlan[[#This Row],[Dataset (.h5)]],Andeler[Datasett (.h5)],Andeler[1 sklerose]," ")/ExpPlan[[#This Row],[Number of samples]]," ")</f>
        <v xml:space="preserve"> </v>
      </c>
      <c r="AD52" s="29" t="str">
        <f>IFERROR(_xlfn.XLOOKUP(ExpPlan[[#This Row],[Dataset (.h5)]],Andeler[Datasett (.h5)],Andeler[2 artrose]," ")/ExpPlan[[#This Row],[Number of samples]]," ")</f>
        <v xml:space="preserve"> </v>
      </c>
      <c r="AE52" s="29" t="str">
        <f>IFERROR(_xlfn.XLOOKUP(ExpPlan[[#This Row],[Dataset (.h5)]],Andeler[Datasett (.h5)],Andeler[2 PL]," ")/ExpPlan[[#This Row],[Number of samples]]," ")</f>
        <v xml:space="preserve"> </v>
      </c>
      <c r="AF52" s="29" t="str">
        <f>IFERROR(_xlfn.XLOOKUP(ExpPlan[[#This Row],[Dataset (.h5)]],Andeler[Datasett (.h5)],Andeler[3 artrose]," ")/ExpPlan[[#This Row],[Number of samples]]," ")</f>
        <v xml:space="preserve"> </v>
      </c>
      <c r="AG52" s="29" t="str">
        <f>IFERROR(_xlfn.XLOOKUP(ExpPlan[[#This Row],[Dataset (.h5)]],Andeler[Datasett (.h5)],Andeler[3 MCD]," ")/ExpPlan[[#This Row],[Number of samples]]," ")</f>
        <v xml:space="preserve"> </v>
      </c>
      <c r="AH52" s="29" t="str">
        <f>IFERROR(_xlfn.XLOOKUP(ExpPlan[[#This Row],[Dataset (.h5)]],Andeler[Datasett (.h5)],Andeler[3 OCD]," ")/ExpPlan[[#This Row],[Number of samples]]," ")</f>
        <v xml:space="preserve"> </v>
      </c>
      <c r="AI52" s="29" t="str">
        <f>IFERROR(_xlfn.XLOOKUP(ExpPlan[[#This Row],[Dataset (.h5)]],Andeler[Datasett (.h5)],Andeler[3 UAP]," ")/ExpPlan[[#This Row],[Number of samples]]," ")</f>
        <v xml:space="preserve"> </v>
      </c>
      <c r="AJ52" s="29">
        <f>SUM(ExpPlan[[#This Row],[1 artrose]:[3 UAP]])</f>
        <v>0</v>
      </c>
    </row>
    <row r="53" spans="2:36" ht="48" outlineLevel="1">
      <c r="B53" s="17">
        <v>11738058</v>
      </c>
      <c r="C53" s="31" t="s">
        <v>187</v>
      </c>
      <c r="D53" s="17" t="s">
        <v>24</v>
      </c>
      <c r="E53" s="17" t="str">
        <f>_xlfn.TEXTJOIN("_",TRUE,ExpPlan[[#This Row],[Complexity]],ExpPlan[[#This Row],[Dataset (.h5)]],ExpPlan[[#This Row],[Learning rate]])</f>
        <v>B1_normal_abnormal20_0.0005</v>
      </c>
      <c r="F53" s="17">
        <v>16</v>
      </c>
      <c r="G53" s="17">
        <f>_xlfn.XLOOKUP(ExpPlan[[#This Row],[Dataset (.h5)]],Andeler[Datasett (.h5)],Andeler[resize_shape]," ")</f>
        <v>800</v>
      </c>
      <c r="H53" s="17" t="s">
        <v>35</v>
      </c>
      <c r="I53" s="17">
        <v>5.0000000000000001E-4</v>
      </c>
      <c r="J53" s="17" t="s">
        <v>26</v>
      </c>
      <c r="K53" s="45">
        <v>5.5381944444444442E-2</v>
      </c>
      <c r="L53" s="2" t="s">
        <v>189</v>
      </c>
      <c r="M53" s="17" t="s">
        <v>49</v>
      </c>
      <c r="N53" s="27">
        <v>0.91825610000000002</v>
      </c>
      <c r="O53" s="42">
        <v>0.83728790969251499</v>
      </c>
      <c r="P53" s="42">
        <v>0.92021276595744605</v>
      </c>
      <c r="Q53" s="42">
        <v>0.91620111731843501</v>
      </c>
      <c r="R53" s="42">
        <v>0.96970769999999995</v>
      </c>
      <c r="S53" s="42">
        <v>0.97365763839391695</v>
      </c>
      <c r="T53" s="40">
        <v>0.90463214999999997</v>
      </c>
      <c r="U53" s="40">
        <v>0.81021275746575405</v>
      </c>
      <c r="V53" s="40">
        <v>0.90716180371352795</v>
      </c>
      <c r="W53" s="40">
        <v>0.90196078431372495</v>
      </c>
      <c r="X53" s="40">
        <v>0.95328455999999995</v>
      </c>
      <c r="Y53" s="40">
        <v>0.96029341886433806</v>
      </c>
      <c r="Z53" s="35">
        <f>_xlfn.XLOOKUP(ExpPlan[[#This Row],[Dataset (.h5)]],Andeler[Datasett (.h5)],Andeler[total]," ")</f>
        <v>1468</v>
      </c>
      <c r="AA53" s="28">
        <f>IFERROR(_xlfn.XLOOKUP(ExpPlan[[#This Row],[Dataset (.h5)]],Andeler[Datasett (.h5)],Andeler[Normale]," ")/ExpPlan[[#This Row],[Number of samples]]," ")</f>
        <v>0.50272479564032702</v>
      </c>
      <c r="AB53" s="28">
        <f>IFERROR(_xlfn.XLOOKUP(ExpPlan[[#This Row],[Dataset (.h5)]],Andeler[Datasett (.h5)],Andeler[1 artrose]," ")/ExpPlan[[#This Row],[Number of samples]]," ")</f>
        <v>0.20027247956403268</v>
      </c>
      <c r="AC53" s="28">
        <f>IFERROR(_xlfn.XLOOKUP(ExpPlan[[#This Row],[Dataset (.h5)]],Andeler[Datasett (.h5)],Andeler[1 sklerose]," ")/ExpPlan[[#This Row],[Number of samples]]," ")</f>
        <v>4.2915531335149866E-2</v>
      </c>
      <c r="AD53" s="28">
        <f>IFERROR(_xlfn.XLOOKUP(ExpPlan[[#This Row],[Dataset (.h5)]],Andeler[Datasett (.h5)],Andeler[2 artrose]," ")/ExpPlan[[#This Row],[Number of samples]]," ")</f>
        <v>8.7874659400544966E-2</v>
      </c>
      <c r="AE53" s="28">
        <f>IFERROR(_xlfn.XLOOKUP(ExpPlan[[#This Row],[Dataset (.h5)]],Andeler[Datasett (.h5)],Andeler[2 PL]," ")/ExpPlan[[#This Row],[Number of samples]]," ")</f>
        <v>4.9727520435967301E-2</v>
      </c>
      <c r="AF53" s="28">
        <f>IFERROR(_xlfn.XLOOKUP(ExpPlan[[#This Row],[Dataset (.h5)]],Andeler[Datasett (.h5)],Andeler[3 artrose]," ")/ExpPlan[[#This Row],[Number of samples]]," ")</f>
        <v>3.2697547683923703E-2</v>
      </c>
      <c r="AG53" s="28">
        <f>IFERROR(_xlfn.XLOOKUP(ExpPlan[[#This Row],[Dataset (.h5)]],Andeler[Datasett (.h5)],Andeler[3 MCD]," ")/ExpPlan[[#This Row],[Number of samples]]," ")</f>
        <v>7.0163487738419614E-2</v>
      </c>
      <c r="AH53" s="28">
        <f>IFERROR(_xlfn.XLOOKUP(ExpPlan[[#This Row],[Dataset (.h5)]],Andeler[Datasett (.h5)],Andeler[3 OCD]," ")/ExpPlan[[#This Row],[Number of samples]]," ")</f>
        <v>7.4931880108991822E-3</v>
      </c>
      <c r="AI53" s="28">
        <f>IFERROR(_xlfn.XLOOKUP(ExpPlan[[#This Row],[Dataset (.h5)]],Andeler[Datasett (.h5)],Andeler[3 UAP]," ")/ExpPlan[[#This Row],[Number of samples]]," ")</f>
        <v>6.1307901907356951E-3</v>
      </c>
      <c r="AJ53" s="28">
        <f>SUM(ExpPlan[[#This Row],[1 artrose]:[3 UAP]])</f>
        <v>0.49727520435967298</v>
      </c>
    </row>
    <row r="54" spans="2:36" ht="48" outlineLevel="1">
      <c r="B54" s="17">
        <v>11738471</v>
      </c>
      <c r="C54" s="31" t="s">
        <v>190</v>
      </c>
      <c r="D54" s="17" t="s">
        <v>24</v>
      </c>
      <c r="E54" s="17" t="str">
        <f>_xlfn.TEXTJOIN("_",TRUE,ExpPlan[[#This Row],[Complexity]],ExpPlan[[#This Row],[Dataset (.h5)]],ExpPlan[[#This Row],[Learning rate]])</f>
        <v>B1_normal_abnormal20_0.0005</v>
      </c>
      <c r="F54" s="17">
        <v>16</v>
      </c>
      <c r="G54" s="17">
        <f>_xlfn.XLOOKUP(ExpPlan[[#This Row],[Dataset (.h5)]],Andeler[Datasett (.h5)],Andeler[resize_shape]," ")</f>
        <v>800</v>
      </c>
      <c r="H54" s="17" t="s">
        <v>35</v>
      </c>
      <c r="I54" s="17">
        <v>5.0000000000000001E-4</v>
      </c>
      <c r="J54" s="17" t="s">
        <v>26</v>
      </c>
      <c r="K54" s="45">
        <v>8.2395833333333335E-2</v>
      </c>
      <c r="L54" s="2" t="s">
        <v>191</v>
      </c>
      <c r="M54" s="17" t="s">
        <v>192</v>
      </c>
      <c r="N54" s="27">
        <v>0.93460489999999996</v>
      </c>
      <c r="O54" s="42">
        <v>0.87105074940146898</v>
      </c>
      <c r="P54" s="42">
        <v>0.93684210526315703</v>
      </c>
      <c r="Q54" s="42">
        <v>0.93220338983050799</v>
      </c>
      <c r="R54" s="42">
        <v>0.96263949999999998</v>
      </c>
      <c r="S54" s="42">
        <v>0.97368733665953899</v>
      </c>
      <c r="T54" s="40">
        <v>0.90735699999999997</v>
      </c>
      <c r="U54" s="40">
        <v>0.81513195272642003</v>
      </c>
      <c r="V54" s="40">
        <v>0.90909090909090895</v>
      </c>
      <c r="W54" s="40">
        <v>0.905555555555555</v>
      </c>
      <c r="X54" s="40">
        <v>0.95986276999999998</v>
      </c>
      <c r="Y54" s="40">
        <v>0.96241684485626</v>
      </c>
      <c r="Z54" s="35">
        <f>_xlfn.XLOOKUP(ExpPlan[[#This Row],[Dataset (.h5)]],Andeler[Datasett (.h5)],Andeler[total]," ")</f>
        <v>1468</v>
      </c>
      <c r="AA54" s="28">
        <f>IFERROR(_xlfn.XLOOKUP(ExpPlan[[#This Row],[Dataset (.h5)]],Andeler[Datasett (.h5)],Andeler[Normale]," ")/ExpPlan[[#This Row],[Number of samples]]," ")</f>
        <v>0.50272479564032702</v>
      </c>
      <c r="AB54" s="28">
        <f>IFERROR(_xlfn.XLOOKUP(ExpPlan[[#This Row],[Dataset (.h5)]],Andeler[Datasett (.h5)],Andeler[1 artrose]," ")/ExpPlan[[#This Row],[Number of samples]]," ")</f>
        <v>0.20027247956403268</v>
      </c>
      <c r="AC54" s="28">
        <f>IFERROR(_xlfn.XLOOKUP(ExpPlan[[#This Row],[Dataset (.h5)]],Andeler[Datasett (.h5)],Andeler[1 sklerose]," ")/ExpPlan[[#This Row],[Number of samples]]," ")</f>
        <v>4.2915531335149866E-2</v>
      </c>
      <c r="AD54" s="28">
        <f>IFERROR(_xlfn.XLOOKUP(ExpPlan[[#This Row],[Dataset (.h5)]],Andeler[Datasett (.h5)],Andeler[2 artrose]," ")/ExpPlan[[#This Row],[Number of samples]]," ")</f>
        <v>8.7874659400544966E-2</v>
      </c>
      <c r="AE54" s="28">
        <f>IFERROR(_xlfn.XLOOKUP(ExpPlan[[#This Row],[Dataset (.h5)]],Andeler[Datasett (.h5)],Andeler[2 PL]," ")/ExpPlan[[#This Row],[Number of samples]]," ")</f>
        <v>4.9727520435967301E-2</v>
      </c>
      <c r="AF54" s="28">
        <f>IFERROR(_xlfn.XLOOKUP(ExpPlan[[#This Row],[Dataset (.h5)]],Andeler[Datasett (.h5)],Andeler[3 artrose]," ")/ExpPlan[[#This Row],[Number of samples]]," ")</f>
        <v>3.2697547683923703E-2</v>
      </c>
      <c r="AG54" s="28">
        <f>IFERROR(_xlfn.XLOOKUP(ExpPlan[[#This Row],[Dataset (.h5)]],Andeler[Datasett (.h5)],Andeler[3 MCD]," ")/ExpPlan[[#This Row],[Number of samples]]," ")</f>
        <v>7.0163487738419614E-2</v>
      </c>
      <c r="AH54" s="28">
        <f>IFERROR(_xlfn.XLOOKUP(ExpPlan[[#This Row],[Dataset (.h5)]],Andeler[Datasett (.h5)],Andeler[3 OCD]," ")/ExpPlan[[#This Row],[Number of samples]]," ")</f>
        <v>7.4931880108991822E-3</v>
      </c>
      <c r="AI54" s="28">
        <f>IFERROR(_xlfn.XLOOKUP(ExpPlan[[#This Row],[Dataset (.h5)]],Andeler[Datasett (.h5)],Andeler[3 UAP]," ")/ExpPlan[[#This Row],[Number of samples]]," ")</f>
        <v>6.1307901907356951E-3</v>
      </c>
      <c r="AJ54" s="28">
        <f>SUM(ExpPlan[[#This Row],[1 artrose]:[3 UAP]])</f>
        <v>0.49727520435967298</v>
      </c>
    </row>
    <row r="55" spans="2:36" ht="64" outlineLevel="1">
      <c r="B55" s="17">
        <v>11738555</v>
      </c>
      <c r="C55" s="31" t="s">
        <v>193</v>
      </c>
      <c r="D55" s="17" t="s">
        <v>24</v>
      </c>
      <c r="E55" s="17" t="str">
        <f>_xlfn.TEXTJOIN("_",TRUE,ExpPlan[[#This Row],[Complexity]],ExpPlan[[#This Row],[Dataset (.h5)]],ExpPlan[[#This Row],[Learning rate]])</f>
        <v>B1_normal_abnormal20_0.00005</v>
      </c>
      <c r="F55" s="17">
        <v>16</v>
      </c>
      <c r="G55" s="17">
        <f>_xlfn.XLOOKUP(ExpPlan[[#This Row],[Dataset (.h5)]],Andeler[Datasett (.h5)],Andeler[resize_shape]," ")</f>
        <v>800</v>
      </c>
      <c r="H55" s="17" t="s">
        <v>35</v>
      </c>
      <c r="I55" s="17">
        <v>5.0000000000000002E-5</v>
      </c>
      <c r="J55" s="17" t="s">
        <v>26</v>
      </c>
      <c r="K55" s="45" t="s">
        <v>195</v>
      </c>
      <c r="L55" s="2" t="s">
        <v>189</v>
      </c>
      <c r="M55" s="17" t="s">
        <v>194</v>
      </c>
      <c r="N55" s="27">
        <v>0.83106270000000004</v>
      </c>
      <c r="O55" s="42">
        <v>0.66250712227647202</v>
      </c>
      <c r="P55" s="42">
        <v>0.82872928176795502</v>
      </c>
      <c r="Q55" s="42">
        <v>0.83333333333333304</v>
      </c>
      <c r="R55" s="42">
        <v>0.90358453999999999</v>
      </c>
      <c r="S55" s="42">
        <v>0.91622119268234703</v>
      </c>
      <c r="T55" s="40">
        <v>0.79836510000000005</v>
      </c>
      <c r="U55" s="40">
        <v>0.59672725112853398</v>
      </c>
      <c r="V55" s="40">
        <v>0.79891304347825998</v>
      </c>
      <c r="W55" s="40">
        <v>0.797814207650273</v>
      </c>
      <c r="X55" s="40">
        <v>0.87483674</v>
      </c>
      <c r="Y55" s="40">
        <v>0.88239486813970003</v>
      </c>
      <c r="Z55" s="35">
        <f>_xlfn.XLOOKUP(ExpPlan[[#This Row],[Dataset (.h5)]],Andeler[Datasett (.h5)],Andeler[total]," ")</f>
        <v>1468</v>
      </c>
      <c r="AA55" s="28">
        <f>IFERROR(_xlfn.XLOOKUP(ExpPlan[[#This Row],[Dataset (.h5)]],Andeler[Datasett (.h5)],Andeler[Normale]," ")/ExpPlan[[#This Row],[Number of samples]]," ")</f>
        <v>0.50272479564032702</v>
      </c>
      <c r="AB55" s="28">
        <f>IFERROR(_xlfn.XLOOKUP(ExpPlan[[#This Row],[Dataset (.h5)]],Andeler[Datasett (.h5)],Andeler[1 artrose]," ")/ExpPlan[[#This Row],[Number of samples]]," ")</f>
        <v>0.20027247956403268</v>
      </c>
      <c r="AC55" s="28">
        <f>IFERROR(_xlfn.XLOOKUP(ExpPlan[[#This Row],[Dataset (.h5)]],Andeler[Datasett (.h5)],Andeler[1 sklerose]," ")/ExpPlan[[#This Row],[Number of samples]]," ")</f>
        <v>4.2915531335149866E-2</v>
      </c>
      <c r="AD55" s="28">
        <f>IFERROR(_xlfn.XLOOKUP(ExpPlan[[#This Row],[Dataset (.h5)]],Andeler[Datasett (.h5)],Andeler[2 artrose]," ")/ExpPlan[[#This Row],[Number of samples]]," ")</f>
        <v>8.7874659400544966E-2</v>
      </c>
      <c r="AE55" s="28">
        <f>IFERROR(_xlfn.XLOOKUP(ExpPlan[[#This Row],[Dataset (.h5)]],Andeler[Datasett (.h5)],Andeler[2 PL]," ")/ExpPlan[[#This Row],[Number of samples]]," ")</f>
        <v>4.9727520435967301E-2</v>
      </c>
      <c r="AF55" s="28">
        <f>IFERROR(_xlfn.XLOOKUP(ExpPlan[[#This Row],[Dataset (.h5)]],Andeler[Datasett (.h5)],Andeler[3 artrose]," ")/ExpPlan[[#This Row],[Number of samples]]," ")</f>
        <v>3.2697547683923703E-2</v>
      </c>
      <c r="AG55" s="28">
        <f>IFERROR(_xlfn.XLOOKUP(ExpPlan[[#This Row],[Dataset (.h5)]],Andeler[Datasett (.h5)],Andeler[3 MCD]," ")/ExpPlan[[#This Row],[Number of samples]]," ")</f>
        <v>7.0163487738419614E-2</v>
      </c>
      <c r="AH55" s="28">
        <f>IFERROR(_xlfn.XLOOKUP(ExpPlan[[#This Row],[Dataset (.h5)]],Andeler[Datasett (.h5)],Andeler[3 OCD]," ")/ExpPlan[[#This Row],[Number of samples]]," ")</f>
        <v>7.4931880108991822E-3</v>
      </c>
      <c r="AI55" s="28">
        <f>IFERROR(_xlfn.XLOOKUP(ExpPlan[[#This Row],[Dataset (.h5)]],Andeler[Datasett (.h5)],Andeler[3 UAP]," ")/ExpPlan[[#This Row],[Number of samples]]," ")</f>
        <v>6.1307901907356951E-3</v>
      </c>
      <c r="AJ55" s="28">
        <f>SUM(ExpPlan[[#This Row],[1 artrose]:[3 UAP]])</f>
        <v>0.49727520435967298</v>
      </c>
    </row>
    <row r="56" spans="2:36">
      <c r="B56" s="17"/>
      <c r="C56" s="31"/>
      <c r="D56" s="17"/>
      <c r="E56" s="17"/>
      <c r="F56" s="17"/>
      <c r="G56" s="17"/>
      <c r="H56" s="17"/>
      <c r="I56" s="17"/>
      <c r="J56" s="2"/>
      <c r="K56" s="17"/>
      <c r="L56" s="27"/>
      <c r="M56" s="42"/>
      <c r="N56" s="42"/>
      <c r="O56" s="42"/>
      <c r="P56" s="40"/>
      <c r="Q56" s="40"/>
      <c r="R56" s="40"/>
      <c r="S56" s="40"/>
      <c r="T56" s="35"/>
      <c r="U56" s="28"/>
      <c r="V56" s="28"/>
      <c r="W56" s="28"/>
      <c r="X56" s="28"/>
      <c r="Y56" s="28"/>
      <c r="Z56" s="28"/>
      <c r="AA56" s="28"/>
      <c r="AB56" s="28"/>
      <c r="AC56" s="28"/>
      <c r="AD56" s="28"/>
    </row>
    <row r="57" spans="2:36">
      <c r="B57" s="17"/>
      <c r="C57" s="31"/>
      <c r="D57" s="17"/>
      <c r="E57" s="17"/>
      <c r="F57" s="17"/>
      <c r="G57" s="17"/>
      <c r="H57" s="17"/>
      <c r="I57" s="17"/>
      <c r="J57" s="2"/>
      <c r="K57" s="17"/>
      <c r="L57" s="27"/>
      <c r="M57" s="42"/>
      <c r="N57" s="42"/>
      <c r="O57" s="42"/>
      <c r="P57" s="40"/>
      <c r="Q57" s="40"/>
      <c r="R57" s="40"/>
      <c r="S57" s="40"/>
      <c r="T57" s="35"/>
      <c r="U57" s="28"/>
      <c r="V57" s="28"/>
      <c r="W57" s="28"/>
      <c r="X57" s="28"/>
      <c r="Y57" s="28"/>
      <c r="Z57" s="28"/>
      <c r="AA57" s="28"/>
      <c r="AB57" s="28"/>
      <c r="AC57" s="28"/>
      <c r="AD57" s="28"/>
    </row>
    <row r="58" spans="2:36">
      <c r="B58" t="s">
        <v>65</v>
      </c>
      <c r="F58" s="91" t="s">
        <v>1</v>
      </c>
      <c r="G58" s="91"/>
      <c r="H58" s="91"/>
      <c r="I58" s="91"/>
      <c r="J58" s="91"/>
      <c r="K58" s="91"/>
      <c r="M58" s="4"/>
      <c r="Y58" s="48" t="s">
        <v>2</v>
      </c>
      <c r="Z58" s="48"/>
      <c r="AA58" s="48"/>
      <c r="AB58" s="48"/>
      <c r="AC58" s="48"/>
      <c r="AD58" s="48"/>
      <c r="AE58" s="48"/>
      <c r="AF58" s="48"/>
      <c r="AG58" s="48"/>
    </row>
    <row r="59" spans="2:36" ht="48">
      <c r="B59" s="2" t="s">
        <v>3</v>
      </c>
      <c r="C59" s="2" t="s">
        <v>85</v>
      </c>
      <c r="D59" s="2" t="s">
        <v>146</v>
      </c>
      <c r="E59" s="17" t="s">
        <v>4</v>
      </c>
      <c r="F59" s="17" t="s">
        <v>66</v>
      </c>
      <c r="G59" s="2" t="s">
        <v>6</v>
      </c>
      <c r="H59" s="2" t="s">
        <v>7</v>
      </c>
      <c r="I59" s="2" t="s">
        <v>8</v>
      </c>
      <c r="J59" s="17" t="s">
        <v>9</v>
      </c>
      <c r="K59" s="17" t="s">
        <v>199</v>
      </c>
      <c r="L59" s="2" t="s">
        <v>67</v>
      </c>
      <c r="M59" s="2" t="s">
        <v>129</v>
      </c>
      <c r="N59" s="2" t="s">
        <v>10</v>
      </c>
      <c r="O59" s="2" t="s">
        <v>126</v>
      </c>
      <c r="P59" s="2" t="s">
        <v>127</v>
      </c>
      <c r="Q59" s="2" t="s">
        <v>152</v>
      </c>
      <c r="R59" s="2" t="s">
        <v>117</v>
      </c>
      <c r="S59" s="2" t="s">
        <v>153</v>
      </c>
      <c r="T59" s="2" t="s">
        <v>124</v>
      </c>
      <c r="U59" s="2" t="s">
        <v>125</v>
      </c>
      <c r="V59" s="2" t="s">
        <v>154</v>
      </c>
      <c r="W59" s="2" t="s">
        <v>11</v>
      </c>
      <c r="X59" s="2" t="s">
        <v>155</v>
      </c>
      <c r="Y59" s="2" t="s">
        <v>12</v>
      </c>
      <c r="Z59" s="2" t="s">
        <v>13</v>
      </c>
      <c r="AA59" s="2" t="s">
        <v>14</v>
      </c>
      <c r="AB59" s="2" t="s">
        <v>15</v>
      </c>
      <c r="AC59" s="2" t="s">
        <v>16</v>
      </c>
      <c r="AD59" s="2" t="s">
        <v>17</v>
      </c>
      <c r="AE59" s="2" t="s">
        <v>18</v>
      </c>
      <c r="AF59" s="2" t="s">
        <v>19</v>
      </c>
      <c r="AG59" s="2" t="s">
        <v>20</v>
      </c>
      <c r="AH59" s="2" t="s">
        <v>21</v>
      </c>
    </row>
    <row r="60" spans="2:36" ht="48" outlineLevel="1">
      <c r="B60" s="38">
        <v>11693737</v>
      </c>
      <c r="C60" s="31" t="s">
        <v>147</v>
      </c>
      <c r="D60" s="39" t="s">
        <v>151</v>
      </c>
      <c r="E60" s="38" t="s">
        <v>148</v>
      </c>
      <c r="F60" s="38" t="str">
        <f>_xlfn.TEXTJOIN("_",TRUE,GamleEksp[[#This Row],[Complexity]],GamleEksp[[#This Row],[Dataset (.h5)]],"bs",GamleEksp[[#This Row],[batch size]],GamleEksp[[#This Row],[Learning rate]])</f>
        <v>B1_800_multiclass20_lvl_bs_25_0.0005</v>
      </c>
      <c r="G60" s="38">
        <f>_xlfn.XLOOKUP(GamleEksp[[#This Row],[Dataset (.h5)]],Andeler[Datasett (.h5)],Andeler[resize_shape]," ")</f>
        <v>800</v>
      </c>
      <c r="H60" s="38" t="s">
        <v>35</v>
      </c>
      <c r="I60" s="38">
        <v>5.0000000000000001E-4</v>
      </c>
      <c r="J60" s="38" t="s">
        <v>149</v>
      </c>
      <c r="K60" s="38">
        <v>25</v>
      </c>
      <c r="L60" s="38" t="s">
        <v>150</v>
      </c>
      <c r="M60" s="49">
        <v>3.0833333333333334E-2</v>
      </c>
      <c r="N60" s="38" t="s">
        <v>98</v>
      </c>
      <c r="O60" s="40">
        <v>0.82850796000000004</v>
      </c>
      <c r="P60" s="40">
        <v>0.81885341736656603</v>
      </c>
      <c r="Q60" s="40">
        <v>0.80586080000000004</v>
      </c>
      <c r="R60" s="40">
        <v>0.55033690780968003</v>
      </c>
      <c r="S60" s="40">
        <v>0.71428571428571397</v>
      </c>
      <c r="T60" s="40">
        <v>0.77449137000000001</v>
      </c>
      <c r="U60" s="40">
        <v>0.74009759114724705</v>
      </c>
      <c r="V60" s="40">
        <v>0.74542129999999995</v>
      </c>
      <c r="W60" s="40">
        <v>0.35208864555389402</v>
      </c>
      <c r="X60" s="40">
        <v>0.60989010989010894</v>
      </c>
      <c r="Y60" s="17">
        <f>_xlfn.XLOOKUP(GamleEksp[[#This Row],[Dataset (.h5)]],Andeler[Datasett (.h5)],Andeler[total]," ")</f>
        <v>730</v>
      </c>
      <c r="Z60" s="28">
        <f>IFERROR(_xlfn.XLOOKUP(GamleEksp[[#This Row],[Dataset (.h5)]],Andeler[Datasett (.h5)],Andeler[Normale]," ")/GamleEksp[[#This Row],[Number of samples]]," ")</f>
        <v>0</v>
      </c>
      <c r="AA60" s="28">
        <f>IFERROR(_xlfn.XLOOKUP(GamleEksp[[#This Row],[Dataset (.h5)]],Andeler[Datasett (.h5)],Andeler[1 artrose]," ")/GamleEksp[[#This Row],[Number of samples]]," ")</f>
        <v>0.40273972602739727</v>
      </c>
      <c r="AB60" s="28">
        <f>IFERROR(_xlfn.XLOOKUP(GamleEksp[[#This Row],[Dataset (.h5)]],Andeler[Datasett (.h5)],Andeler[1 sklerose]," ")/GamleEksp[[#This Row],[Number of samples]]," ")</f>
        <v>8.6301369863013705E-2</v>
      </c>
      <c r="AC60" s="28">
        <f>IFERROR(_xlfn.XLOOKUP(GamleEksp[[#This Row],[Dataset (.h5)]],Andeler[Datasett (.h5)],Andeler[2 artrose]," ")/GamleEksp[[#This Row],[Number of samples]]," ")</f>
        <v>0.17671232876712328</v>
      </c>
      <c r="AD60" s="28">
        <f>IFERROR(_xlfn.XLOOKUP(GamleEksp[[#This Row],[Dataset (.h5)]],Andeler[Datasett (.h5)],Andeler[2 PL]," ")/GamleEksp[[#This Row],[Number of samples]]," ")</f>
        <v>0.1</v>
      </c>
      <c r="AE60" s="28">
        <f>IFERROR(_xlfn.XLOOKUP(GamleEksp[[#This Row],[Dataset (.h5)]],Andeler[Datasett (.h5)],Andeler[3 artrose]," ")/GamleEksp[[#This Row],[Number of samples]]," ")</f>
        <v>6.575342465753424E-2</v>
      </c>
      <c r="AF60" s="28">
        <f>IFERROR(_xlfn.XLOOKUP(GamleEksp[[#This Row],[Dataset (.h5)]],Andeler[Datasett (.h5)],Andeler[3 MCD]," ")/GamleEksp[[#This Row],[Number of samples]]," ")</f>
        <v>0.14109589041095891</v>
      </c>
      <c r="AG60" s="28">
        <f>IFERROR(_xlfn.XLOOKUP(GamleEksp[[#This Row],[Dataset (.h5)]],Andeler[Datasett (.h5)],Andeler[3 OCD]," ")/GamleEksp[[#This Row],[Number of samples]]," ")</f>
        <v>1.5068493150684932E-2</v>
      </c>
      <c r="AH60" s="28">
        <f>IFERROR(_xlfn.XLOOKUP(GamleEksp[[#This Row],[Dataset (.h5)]],Andeler[Datasett (.h5)],Andeler[3 UAP]," ")/GamleEksp[[#This Row],[Number of samples]]," ")</f>
        <v>1.2328767123287671E-2</v>
      </c>
    </row>
    <row r="61" spans="2:36" ht="64" outlineLevel="1">
      <c r="B61" s="38">
        <v>11693755</v>
      </c>
      <c r="C61" s="31" t="s">
        <v>156</v>
      </c>
      <c r="D61" s="39" t="s">
        <v>131</v>
      </c>
      <c r="E61" s="38" t="s">
        <v>148</v>
      </c>
      <c r="F61" s="38" t="str">
        <f>_xlfn.TEXTJOIN("_",TRUE,GamleEksp[[#This Row],[Complexity]],GamleEksp[[#This Row],[Dataset (.h5)]],"bs",GamleEksp[[#This Row],[batch size]],GamleEksp[[#This Row],[Learning rate]])</f>
        <v>B2_800_multiclass20_lvl_bs_25_0.0005</v>
      </c>
      <c r="G61" s="38">
        <f>_xlfn.XLOOKUP(GamleEksp[[#This Row],[Dataset (.h5)]],Andeler[Datasett (.h5)],Andeler[resize_shape]," ")</f>
        <v>800</v>
      </c>
      <c r="H61" s="38" t="s">
        <v>25</v>
      </c>
      <c r="I61" s="38">
        <v>5.0000000000000001E-4</v>
      </c>
      <c r="J61" s="38" t="s">
        <v>149</v>
      </c>
      <c r="K61" s="38">
        <v>25</v>
      </c>
      <c r="L61" s="38" t="s">
        <v>150</v>
      </c>
      <c r="M61" s="49">
        <v>5.8032407407407414E-2</v>
      </c>
      <c r="N61" s="38" t="s">
        <v>157</v>
      </c>
      <c r="O61" s="40">
        <v>0.81432647000000002</v>
      </c>
      <c r="P61" s="40">
        <v>0.80748845197115604</v>
      </c>
      <c r="Q61" s="40">
        <v>0.79304034000000001</v>
      </c>
      <c r="R61" s="40">
        <v>0.49354258062949302</v>
      </c>
      <c r="S61" s="40">
        <v>0.68681318681318604</v>
      </c>
      <c r="T61" s="40">
        <v>0.81774539999999996</v>
      </c>
      <c r="U61" s="40">
        <v>0.80535351736036298</v>
      </c>
      <c r="V61" s="40">
        <v>0.78205126999999997</v>
      </c>
      <c r="W61" s="40">
        <v>0.46690316279275501</v>
      </c>
      <c r="X61" s="40">
        <v>0.67032967032966995</v>
      </c>
      <c r="Y61" s="38">
        <f>_xlfn.XLOOKUP(GamleEksp[[#This Row],[Dataset (.h5)]],Andeler[Datasett (.h5)],Andeler[total]," ")</f>
        <v>730</v>
      </c>
      <c r="Z61" s="28">
        <f>IFERROR(_xlfn.XLOOKUP(GamleEksp[[#This Row],[Dataset (.h5)]],Andeler[Datasett (.h5)],Andeler[Normale]," ")/GamleEksp[[#This Row],[Number of samples]]," ")</f>
        <v>0</v>
      </c>
      <c r="AA61" s="28">
        <f>IFERROR(_xlfn.XLOOKUP(GamleEksp[[#This Row],[Dataset (.h5)]],Andeler[Datasett (.h5)],Andeler[1 artrose]," ")/GamleEksp[[#This Row],[Number of samples]]," ")</f>
        <v>0.40273972602739727</v>
      </c>
      <c r="AB61" s="28">
        <f>IFERROR(_xlfn.XLOOKUP(GamleEksp[[#This Row],[Dataset (.h5)]],Andeler[Datasett (.h5)],Andeler[1 sklerose]," ")/GamleEksp[[#This Row],[Number of samples]]," ")</f>
        <v>8.6301369863013705E-2</v>
      </c>
      <c r="AC61" s="28">
        <f>IFERROR(_xlfn.XLOOKUP(GamleEksp[[#This Row],[Dataset (.h5)]],Andeler[Datasett (.h5)],Andeler[2 artrose]," ")/GamleEksp[[#This Row],[Number of samples]]," ")</f>
        <v>0.17671232876712328</v>
      </c>
      <c r="AD61" s="28">
        <f>IFERROR(_xlfn.XLOOKUP(GamleEksp[[#This Row],[Dataset (.h5)]],Andeler[Datasett (.h5)],Andeler[2 PL]," ")/GamleEksp[[#This Row],[Number of samples]]," ")</f>
        <v>0.1</v>
      </c>
      <c r="AE61" s="28">
        <f>IFERROR(_xlfn.XLOOKUP(GamleEksp[[#This Row],[Dataset (.h5)]],Andeler[Datasett (.h5)],Andeler[3 artrose]," ")/GamleEksp[[#This Row],[Number of samples]]," ")</f>
        <v>6.575342465753424E-2</v>
      </c>
      <c r="AF61" s="28">
        <f>IFERROR(_xlfn.XLOOKUP(GamleEksp[[#This Row],[Dataset (.h5)]],Andeler[Datasett (.h5)],Andeler[3 MCD]," ")/GamleEksp[[#This Row],[Number of samples]]," ")</f>
        <v>0.14109589041095891</v>
      </c>
      <c r="AG61" s="28">
        <f>IFERROR(_xlfn.XLOOKUP(GamleEksp[[#This Row],[Dataset (.h5)]],Andeler[Datasett (.h5)],Andeler[3 OCD]," ")/GamleEksp[[#This Row],[Number of samples]]," ")</f>
        <v>1.5068493150684932E-2</v>
      </c>
      <c r="AH61" s="28">
        <f>IFERROR(_xlfn.XLOOKUP(GamleEksp[[#This Row],[Dataset (.h5)]],Andeler[Datasett (.h5)],Andeler[3 UAP]," ")/GamleEksp[[#This Row],[Number of samples]]," ")</f>
        <v>1.2328767123287671E-2</v>
      </c>
    </row>
    <row r="62" spans="2:36" ht="48" outlineLevel="1">
      <c r="B62" s="38">
        <v>11697443</v>
      </c>
      <c r="C62" s="39" t="s">
        <v>158</v>
      </c>
      <c r="D62" s="39" t="s">
        <v>131</v>
      </c>
      <c r="E62" s="38" t="s">
        <v>148</v>
      </c>
      <c r="F62" s="38" t="str">
        <f>_xlfn.TEXTJOIN("_",TRUE,GamleEksp[[#This Row],[Complexity]],GamleEksp[[#This Row],[Dataset (.h5)]],"bs",GamleEksp[[#This Row],[batch size]],GamleEksp[[#This Row],[Learning rate]])</f>
        <v>B2_800_multiclass20_lvl_bs_25_0.00001</v>
      </c>
      <c r="G62" s="38">
        <f>_xlfn.XLOOKUP(GamleEksp[[#This Row],[Dataset (.h5)]],Andeler[Datasett (.h5)],Andeler[resize_shape]," ")</f>
        <v>800</v>
      </c>
      <c r="H62" s="38" t="s">
        <v>25</v>
      </c>
      <c r="I62" s="38">
        <v>1.0000000000000001E-5</v>
      </c>
      <c r="J62" s="38" t="s">
        <v>149</v>
      </c>
      <c r="K62" s="38">
        <v>25</v>
      </c>
      <c r="L62" s="38" t="s">
        <v>150</v>
      </c>
      <c r="M62" s="49">
        <v>3.2048611111111111E-2</v>
      </c>
      <c r="N62" s="38" t="s">
        <v>27</v>
      </c>
      <c r="O62" s="40">
        <v>0.76612884000000003</v>
      </c>
      <c r="P62" s="40">
        <v>0.72383831733760096</v>
      </c>
      <c r="Q62" s="40">
        <v>0.73443230000000004</v>
      </c>
      <c r="R62" s="40">
        <v>0.33863243855440101</v>
      </c>
      <c r="S62" s="40">
        <v>0.59890109890109799</v>
      </c>
      <c r="T62" s="40">
        <v>0.73305600000000004</v>
      </c>
      <c r="U62" s="40">
        <v>0.67888009612662203</v>
      </c>
      <c r="V62" s="40">
        <v>0.74175820000000003</v>
      </c>
      <c r="W62" s="40">
        <v>0.275677342267097</v>
      </c>
      <c r="X62" s="40">
        <v>0.56593406593406503</v>
      </c>
      <c r="Y62" s="38">
        <f>_xlfn.XLOOKUP(GamleEksp[[#This Row],[Dataset (.h5)]],Andeler[Datasett (.h5)],Andeler[total]," ")</f>
        <v>730</v>
      </c>
      <c r="Z62" s="28">
        <f>IFERROR(_xlfn.XLOOKUP(GamleEksp[[#This Row],[Dataset (.h5)]],Andeler[Datasett (.h5)],Andeler[Normale]," ")/GamleEksp[[#This Row],[Number of samples]]," ")</f>
        <v>0</v>
      </c>
      <c r="AA62" s="28">
        <f>IFERROR(_xlfn.XLOOKUP(GamleEksp[[#This Row],[Dataset (.h5)]],Andeler[Datasett (.h5)],Andeler[1 artrose]," ")/GamleEksp[[#This Row],[Number of samples]]," ")</f>
        <v>0.40273972602739727</v>
      </c>
      <c r="AB62" s="28">
        <f>IFERROR(_xlfn.XLOOKUP(GamleEksp[[#This Row],[Dataset (.h5)]],Andeler[Datasett (.h5)],Andeler[1 sklerose]," ")/GamleEksp[[#This Row],[Number of samples]]," ")</f>
        <v>8.6301369863013705E-2</v>
      </c>
      <c r="AC62" s="28">
        <f>IFERROR(_xlfn.XLOOKUP(GamleEksp[[#This Row],[Dataset (.h5)]],Andeler[Datasett (.h5)],Andeler[2 artrose]," ")/GamleEksp[[#This Row],[Number of samples]]," ")</f>
        <v>0.17671232876712328</v>
      </c>
      <c r="AD62" s="28">
        <f>IFERROR(_xlfn.XLOOKUP(GamleEksp[[#This Row],[Dataset (.h5)]],Andeler[Datasett (.h5)],Andeler[2 PL]," ")/GamleEksp[[#This Row],[Number of samples]]," ")</f>
        <v>0.1</v>
      </c>
      <c r="AE62" s="28">
        <f>IFERROR(_xlfn.XLOOKUP(GamleEksp[[#This Row],[Dataset (.h5)]],Andeler[Datasett (.h5)],Andeler[3 artrose]," ")/GamleEksp[[#This Row],[Number of samples]]," ")</f>
        <v>6.575342465753424E-2</v>
      </c>
      <c r="AF62" s="28">
        <f>IFERROR(_xlfn.XLOOKUP(GamleEksp[[#This Row],[Dataset (.h5)]],Andeler[Datasett (.h5)],Andeler[3 MCD]," ")/GamleEksp[[#This Row],[Number of samples]]," ")</f>
        <v>0.14109589041095891</v>
      </c>
      <c r="AG62" s="28">
        <f>IFERROR(_xlfn.XLOOKUP(GamleEksp[[#This Row],[Dataset (.h5)]],Andeler[Datasett (.h5)],Andeler[3 OCD]," ")/GamleEksp[[#This Row],[Number of samples]]," ")</f>
        <v>1.5068493150684932E-2</v>
      </c>
      <c r="AH62" s="28">
        <f>IFERROR(_xlfn.XLOOKUP(GamleEksp[[#This Row],[Dataset (.h5)]],Andeler[Datasett (.h5)],Andeler[3 UAP]," ")/GamleEksp[[#This Row],[Number of samples]]," ")</f>
        <v>1.2328767123287671E-2</v>
      </c>
    </row>
    <row r="63" spans="2:36" ht="48" outlineLevel="1">
      <c r="B63" s="38">
        <v>11697501</v>
      </c>
      <c r="C63" s="39" t="s">
        <v>159</v>
      </c>
      <c r="D63" s="39" t="s">
        <v>131</v>
      </c>
      <c r="E63" s="38" t="s">
        <v>148</v>
      </c>
      <c r="F63" s="38" t="str">
        <f>_xlfn.TEXTJOIN("_",TRUE,GamleEksp[[#This Row],[Complexity]],GamleEksp[[#This Row],[Dataset (.h5)]],"bs",GamleEksp[[#This Row],[batch size]],GamleEksp[[#This Row],[Learning rate]])</f>
        <v>B2_800_multiclass20_lvl_bs_25_0.001</v>
      </c>
      <c r="G63" s="38">
        <f>_xlfn.XLOOKUP(GamleEksp[[#This Row],[Dataset (.h5)]],Andeler[Datasett (.h5)],Andeler[resize_shape]," ")</f>
        <v>800</v>
      </c>
      <c r="H63" s="38" t="s">
        <v>25</v>
      </c>
      <c r="I63" s="38">
        <v>1E-3</v>
      </c>
      <c r="J63" s="38" t="s">
        <v>149</v>
      </c>
      <c r="K63" s="38">
        <v>25</v>
      </c>
      <c r="L63" s="38" t="s">
        <v>150</v>
      </c>
      <c r="M63" s="49">
        <v>3.2164351851851854E-2</v>
      </c>
      <c r="N63" s="38" t="s">
        <v>160</v>
      </c>
      <c r="O63" s="40">
        <v>0.77887636000000005</v>
      </c>
      <c r="P63" s="40">
        <v>0.761086209142949</v>
      </c>
      <c r="Q63" s="40">
        <v>0.76556784</v>
      </c>
      <c r="R63" s="40">
        <v>0.41053999881051501</v>
      </c>
      <c r="S63" s="40">
        <v>0.63736263736263699</v>
      </c>
      <c r="T63" s="40">
        <v>0.77178930000000001</v>
      </c>
      <c r="U63" s="40">
        <v>0.76196842037024304</v>
      </c>
      <c r="V63" s="40">
        <v>0.75457870000000005</v>
      </c>
      <c r="W63" s="40">
        <v>0.40680688193370301</v>
      </c>
      <c r="X63" s="40">
        <v>0.63736263736263699</v>
      </c>
      <c r="Y63" s="38"/>
      <c r="Z63" s="28" t="str">
        <f>IFERROR(_xlfn.XLOOKUP(GamleEksp[[#This Row],[Dataset (.h5)]],Andeler[Datasett (.h5)],Andeler[Normale]," ")/GamleEksp[[#This Row],[Number of samples]]," ")</f>
        <v xml:space="preserve"> </v>
      </c>
      <c r="AA63" s="28" t="str">
        <f>IFERROR(_xlfn.XLOOKUP(GamleEksp[[#This Row],[Dataset (.h5)]],Andeler[Datasett (.h5)],Andeler[1 artrose]," ")/GamleEksp[[#This Row],[Number of samples]]," ")</f>
        <v xml:space="preserve"> </v>
      </c>
      <c r="AB63" s="28" t="str">
        <f>IFERROR(_xlfn.XLOOKUP(GamleEksp[[#This Row],[Dataset (.h5)]],Andeler[Datasett (.h5)],Andeler[1 sklerose]," ")/GamleEksp[[#This Row],[Number of samples]]," ")</f>
        <v xml:space="preserve"> </v>
      </c>
      <c r="AC63" s="28" t="str">
        <f>IFERROR(_xlfn.XLOOKUP(GamleEksp[[#This Row],[Dataset (.h5)]],Andeler[Datasett (.h5)],Andeler[2 artrose]," ")/GamleEksp[[#This Row],[Number of samples]]," ")</f>
        <v xml:space="preserve"> </v>
      </c>
      <c r="AD63" s="28" t="str">
        <f>IFERROR(_xlfn.XLOOKUP(GamleEksp[[#This Row],[Dataset (.h5)]],Andeler[Datasett (.h5)],Andeler[2 PL]," ")/GamleEksp[[#This Row],[Number of samples]]," ")</f>
        <v xml:space="preserve"> </v>
      </c>
      <c r="AE63" s="28" t="str">
        <f>IFERROR(_xlfn.XLOOKUP(GamleEksp[[#This Row],[Dataset (.h5)]],Andeler[Datasett (.h5)],Andeler[3 artrose]," ")/GamleEksp[[#This Row],[Number of samples]]," ")</f>
        <v xml:space="preserve"> </v>
      </c>
      <c r="AF63" s="28" t="str">
        <f>IFERROR(_xlfn.XLOOKUP(GamleEksp[[#This Row],[Dataset (.h5)]],Andeler[Datasett (.h5)],Andeler[3 MCD]," ")/GamleEksp[[#This Row],[Number of samples]]," ")</f>
        <v xml:space="preserve"> </v>
      </c>
      <c r="AG63" s="28" t="str">
        <f>IFERROR(_xlfn.XLOOKUP(GamleEksp[[#This Row],[Dataset (.h5)]],Andeler[Datasett (.h5)],Andeler[3 OCD]," ")/GamleEksp[[#This Row],[Number of samples]]," ")</f>
        <v xml:space="preserve"> </v>
      </c>
      <c r="AH63" s="28" t="str">
        <f>IFERROR(_xlfn.XLOOKUP(GamleEksp[[#This Row],[Dataset (.h5)]],Andeler[Datasett (.h5)],Andeler[3 UAP]," ")/GamleEksp[[#This Row],[Number of samples]]," ")</f>
        <v xml:space="preserve"> </v>
      </c>
    </row>
    <row r="64" spans="2:36" ht="48" outlineLevel="1">
      <c r="B64" s="38">
        <v>11697673</v>
      </c>
      <c r="C64" s="39" t="s">
        <v>161</v>
      </c>
      <c r="D64" s="39" t="s">
        <v>131</v>
      </c>
      <c r="E64" s="38" t="s">
        <v>148</v>
      </c>
      <c r="F64" s="38" t="str">
        <f>_xlfn.TEXTJOIN("_",TRUE,GamleEksp[[#This Row],[Complexity]],GamleEksp[[#This Row],[Dataset (.h5)]],"bs",GamleEksp[[#This Row],[batch size]],GamleEksp[[#This Row],[Learning rate]])</f>
        <v>B2_800_multiclass20_lvl_bs_25_0.0001</v>
      </c>
      <c r="G64" s="2">
        <f>_xlfn.XLOOKUP(GamleEksp[[#This Row],[Dataset (.h5)]],Andeler[Datasett (.h5)],Andeler[resize_shape]," ")</f>
        <v>800</v>
      </c>
      <c r="H64" s="38" t="s">
        <v>25</v>
      </c>
      <c r="I64" s="2">
        <v>1E-4</v>
      </c>
      <c r="J64" s="2" t="s">
        <v>149</v>
      </c>
      <c r="K64" s="38">
        <v>25</v>
      </c>
      <c r="L64" s="38" t="s">
        <v>150</v>
      </c>
      <c r="M64" s="49">
        <v>3.229166666666667E-2</v>
      </c>
      <c r="N64" s="2" t="s">
        <v>27</v>
      </c>
      <c r="O64" s="50">
        <v>0.77455914000000003</v>
      </c>
      <c r="P64" s="50">
        <v>0.74536885865592595</v>
      </c>
      <c r="Q64" s="50">
        <v>0.76190480000000005</v>
      </c>
      <c r="R64" s="50">
        <v>0.426696253672393</v>
      </c>
      <c r="S64" s="50">
        <v>0.64835164835164805</v>
      </c>
      <c r="T64" s="50">
        <v>0.75120765</v>
      </c>
      <c r="U64" s="50">
        <v>0.72947275497430997</v>
      </c>
      <c r="V64" s="50">
        <v>0.75457879999999999</v>
      </c>
      <c r="W64" s="50">
        <v>0.36772246177555901</v>
      </c>
      <c r="X64" s="50">
        <v>0.61538461538461497</v>
      </c>
      <c r="Y64" s="2">
        <f>_xlfn.XLOOKUP(GamleEksp[[#This Row],[Dataset (.h5)]],Andeler[Datasett (.h5)],Andeler[total]," ")</f>
        <v>730</v>
      </c>
      <c r="Z64" s="28">
        <f>IFERROR(_xlfn.XLOOKUP(GamleEksp[[#This Row],[Dataset (.h5)]],Andeler[Datasett (.h5)],Andeler[Normale]," ")/GamleEksp[[#This Row],[Number of samples]]," ")</f>
        <v>0</v>
      </c>
      <c r="AA64" s="51">
        <f>IFERROR(_xlfn.XLOOKUP(GamleEksp[[#This Row],[Dataset (.h5)]],Andeler[Datasett (.h5)],Andeler[1 artrose]," ")/GamleEksp[[#This Row],[Number of samples]]," ")</f>
        <v>0.40273972602739727</v>
      </c>
      <c r="AB64" s="28">
        <f>IFERROR(_xlfn.XLOOKUP(GamleEksp[[#This Row],[Dataset (.h5)]],Andeler[Datasett (.h5)],Andeler[1 sklerose]," ")/GamleEksp[[#This Row],[Number of samples]]," ")</f>
        <v>8.6301369863013705E-2</v>
      </c>
      <c r="AC64" s="28">
        <f>IFERROR(_xlfn.XLOOKUP(GamleEksp[[#This Row],[Dataset (.h5)]],Andeler[Datasett (.h5)],Andeler[2 artrose]," ")/GamleEksp[[#This Row],[Number of samples]]," ")</f>
        <v>0.17671232876712328</v>
      </c>
      <c r="AD64" s="28">
        <f>IFERROR(_xlfn.XLOOKUP(GamleEksp[[#This Row],[Dataset (.h5)]],Andeler[Datasett (.h5)],Andeler[2 PL]," ")/GamleEksp[[#This Row],[Number of samples]]," ")</f>
        <v>0.1</v>
      </c>
      <c r="AE64" s="28">
        <f>IFERROR(_xlfn.XLOOKUP(GamleEksp[[#This Row],[Dataset (.h5)]],Andeler[Datasett (.h5)],Andeler[3 artrose]," ")/GamleEksp[[#This Row],[Number of samples]]," ")</f>
        <v>6.575342465753424E-2</v>
      </c>
      <c r="AF64" s="28">
        <f>IFERROR(_xlfn.XLOOKUP(GamleEksp[[#This Row],[Dataset (.h5)]],Andeler[Datasett (.h5)],Andeler[3 MCD]," ")/GamleEksp[[#This Row],[Number of samples]]," ")</f>
        <v>0.14109589041095891</v>
      </c>
      <c r="AG64" s="28">
        <f>IFERROR(_xlfn.XLOOKUP(GamleEksp[[#This Row],[Dataset (.h5)]],Andeler[Datasett (.h5)],Andeler[3 OCD]," ")/GamleEksp[[#This Row],[Number of samples]]," ")</f>
        <v>1.5068493150684932E-2</v>
      </c>
      <c r="AH64" s="28">
        <f>IFERROR(_xlfn.XLOOKUP(GamleEksp[[#This Row],[Dataset (.h5)]],Andeler[Datasett (.h5)],Andeler[3 UAP]," ")/GamleEksp[[#This Row],[Number of samples]]," ")</f>
        <v>1.2328767123287671E-2</v>
      </c>
    </row>
    <row r="65" spans="2:34" ht="64" outlineLevel="1">
      <c r="B65" s="32">
        <v>11698791</v>
      </c>
      <c r="C65" s="43" t="s">
        <v>162</v>
      </c>
      <c r="D65" s="43" t="s">
        <v>163</v>
      </c>
      <c r="E65" s="32" t="s">
        <v>148</v>
      </c>
      <c r="F65" s="32" t="str">
        <f>_xlfn.TEXTJOIN("_",TRUE,GamleEksp[[#This Row],[Complexity]],GamleEksp[[#This Row],[Dataset (.h5)]],"bs",GamleEksp[[#This Row],[batch size]],GamleEksp[[#This Row],[Learning rate]])</f>
        <v>B2_800_multiclass20_lvl_bs_25_0.00001</v>
      </c>
      <c r="G65" s="32">
        <f>_xlfn.XLOOKUP(GamleEksp[[#This Row],[Dataset (.h5)]],Andeler[Datasett (.h5)],Andeler[resize_shape]," ")</f>
        <v>800</v>
      </c>
      <c r="H65" s="32" t="s">
        <v>25</v>
      </c>
      <c r="I65" s="32">
        <v>1.0000000000000001E-5</v>
      </c>
      <c r="J65" s="43" t="s">
        <v>149</v>
      </c>
      <c r="K65" s="43">
        <v>25</v>
      </c>
      <c r="L65" s="32" t="s">
        <v>150</v>
      </c>
      <c r="M65" s="52"/>
      <c r="N65" s="4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4">
        <f>_xlfn.XLOOKUP(GamleEksp[[#This Row],[Dataset (.h5)]],Andeler[Datasett (.h5)],Andeler[total]," ")</f>
        <v>730</v>
      </c>
      <c r="Z65" s="29">
        <f>IFERROR(_xlfn.XLOOKUP(GamleEksp[[#This Row],[Dataset (.h5)]],Andeler[Datasett (.h5)],Andeler[Normale]," ")/GamleEksp[[#This Row],[Number of samples]]," ")</f>
        <v>0</v>
      </c>
      <c r="AA65" s="55">
        <f>IFERROR(_xlfn.XLOOKUP(GamleEksp[[#This Row],[Dataset (.h5)]],Andeler[Datasett (.h5)],Andeler[1 artrose]," ")/GamleEksp[[#This Row],[Number of samples]]," ")</f>
        <v>0.40273972602739727</v>
      </c>
      <c r="AB65" s="29">
        <f>IFERROR(_xlfn.XLOOKUP(GamleEksp[[#This Row],[Dataset (.h5)]],Andeler[Datasett (.h5)],Andeler[1 sklerose]," ")/GamleEksp[[#This Row],[Number of samples]]," ")</f>
        <v>8.6301369863013705E-2</v>
      </c>
      <c r="AC65" s="29">
        <f>IFERROR(_xlfn.XLOOKUP(GamleEksp[[#This Row],[Dataset (.h5)]],Andeler[Datasett (.h5)],Andeler[2 artrose]," ")/GamleEksp[[#This Row],[Number of samples]]," ")</f>
        <v>0.17671232876712328</v>
      </c>
      <c r="AD65" s="29">
        <f>IFERROR(_xlfn.XLOOKUP(GamleEksp[[#This Row],[Dataset (.h5)]],Andeler[Datasett (.h5)],Andeler[2 PL]," ")/GamleEksp[[#This Row],[Number of samples]]," ")</f>
        <v>0.1</v>
      </c>
      <c r="AE65" s="29">
        <f>IFERROR(_xlfn.XLOOKUP(GamleEksp[[#This Row],[Dataset (.h5)]],Andeler[Datasett (.h5)],Andeler[3 artrose]," ")/GamleEksp[[#This Row],[Number of samples]]," ")</f>
        <v>6.575342465753424E-2</v>
      </c>
      <c r="AF65" s="29">
        <f>IFERROR(_xlfn.XLOOKUP(GamleEksp[[#This Row],[Dataset (.h5)]],Andeler[Datasett (.h5)],Andeler[3 MCD]," ")/GamleEksp[[#This Row],[Number of samples]]," ")</f>
        <v>0.14109589041095891</v>
      </c>
      <c r="AG65" s="29">
        <f>IFERROR(_xlfn.XLOOKUP(GamleEksp[[#This Row],[Dataset (.h5)]],Andeler[Datasett (.h5)],Andeler[3 OCD]," ")/GamleEksp[[#This Row],[Number of samples]]," ")</f>
        <v>1.5068493150684932E-2</v>
      </c>
      <c r="AH65" s="29">
        <f>IFERROR(_xlfn.XLOOKUP(GamleEksp[[#This Row],[Dataset (.h5)]],Andeler[Datasett (.h5)],Andeler[3 UAP]," ")/GamleEksp[[#This Row],[Number of samples]]," ")</f>
        <v>1.2328767123287671E-2</v>
      </c>
    </row>
    <row r="66" spans="2:34" ht="48" outlineLevel="1">
      <c r="B66" s="38">
        <v>11726862</v>
      </c>
      <c r="C66" s="39" t="s">
        <v>164</v>
      </c>
      <c r="D66" s="38"/>
      <c r="E66" s="38" t="s">
        <v>166</v>
      </c>
      <c r="F66" s="38" t="str">
        <f>_xlfn.TEXTJOIN("_",TRUE,GamleEksp[[#This Row],[Complexity]],GamleEksp[[#This Row],[Dataset (.h5)]],"bs",GamleEksp[[#This Row],[batch size]],GamleEksp[[#This Row],[Learning rate]])</f>
        <v>B2_800_multiclass_diagnosis_bs_25_0.0005</v>
      </c>
      <c r="G66" s="38">
        <f>_xlfn.XLOOKUP(GamleEksp[[#This Row],[Dataset (.h5)]],Andeler[Datasett (.h5)],Andeler[resize_shape]," ")</f>
        <v>800</v>
      </c>
      <c r="H66" s="38" t="s">
        <v>25</v>
      </c>
      <c r="I66" s="38">
        <v>5.0000000000000001E-4</v>
      </c>
      <c r="J66" s="38" t="s">
        <v>149</v>
      </c>
      <c r="K66" s="38">
        <v>25</v>
      </c>
      <c r="L66" s="38" t="s">
        <v>165</v>
      </c>
      <c r="M66" s="38"/>
      <c r="N66" s="38" t="s">
        <v>168</v>
      </c>
      <c r="O66" s="40">
        <v>0.90192205000000003</v>
      </c>
      <c r="P66" s="40">
        <v>0.77425584612090703</v>
      </c>
      <c r="Q66" s="40">
        <v>0.91826920000000001</v>
      </c>
      <c r="R66" s="40">
        <v>0.409916843829984</v>
      </c>
      <c r="S66" s="40">
        <v>0.75320512820512797</v>
      </c>
      <c r="T66" s="40">
        <v>0.89792806000000003</v>
      </c>
      <c r="U66" s="40">
        <v>0.76209291556086001</v>
      </c>
      <c r="V66" s="40">
        <v>0.91506410000000005</v>
      </c>
      <c r="W66" s="40">
        <v>0.38589480169639301</v>
      </c>
      <c r="X66" s="40">
        <v>0.74679487179487103</v>
      </c>
      <c r="Y66" s="38">
        <f>_xlfn.XLOOKUP(GamleEksp[[#This Row],[Dataset (.h5)]],Andeler[Datasett (.h5)],Andeler[total]," ")</f>
        <v>1242</v>
      </c>
      <c r="Z66" s="30">
        <f>IFERROR(_xlfn.XLOOKUP(GamleEksp[[#This Row],[Dataset (.h5)]],Andeler[Datasett (.h5)],Andeler[Normale]," ")/GamleEksp[[#This Row],[Number of samples]]," ")</f>
        <v>0</v>
      </c>
      <c r="AA66" s="30">
        <f>IFERROR(_xlfn.XLOOKUP(GamleEksp[[#This Row],[Dataset (.h5)]],Andeler[Datasett (.h5)],Andeler[1 artrose]," ")/GamleEksp[[#This Row],[Number of samples]]," ")</f>
        <v>0.40016103059581321</v>
      </c>
      <c r="AB66" s="30">
        <f>IFERROR(_xlfn.XLOOKUP(GamleEksp[[#This Row],[Dataset (.h5)]],Andeler[Datasett (.h5)],Andeler[1 sklerose]," ")/GamleEksp[[#This Row],[Number of samples]]," ")</f>
        <v>7.9710144927536225E-2</v>
      </c>
      <c r="AC66" s="30">
        <f>IFERROR(_xlfn.XLOOKUP(GamleEksp[[#This Row],[Dataset (.h5)]],Andeler[Datasett (.h5)],Andeler[2 artrose]," ")/GamleEksp[[#This Row],[Number of samples]]," ")</f>
        <v>0.20853462157809985</v>
      </c>
      <c r="AD66" s="30">
        <f>IFERROR(_xlfn.XLOOKUP(GamleEksp[[#This Row],[Dataset (.h5)]],Andeler[Datasett (.h5)],Andeler[2 PL]," ")/GamleEksp[[#This Row],[Number of samples]]," ")</f>
        <v>7.4879227053140096E-2</v>
      </c>
      <c r="AE66" s="30">
        <f>IFERROR(_xlfn.XLOOKUP(GamleEksp[[#This Row],[Dataset (.h5)]],Andeler[Datasett (.h5)],Andeler[3 artrose]," ")/GamleEksp[[#This Row],[Number of samples]]," ")</f>
        <v>8.9371980676328497E-2</v>
      </c>
      <c r="AF66" s="30">
        <f>IFERROR(_xlfn.XLOOKUP(GamleEksp[[#This Row],[Dataset (.h5)]],Andeler[Datasett (.h5)],Andeler[3 MCD]," ")/GamleEksp[[#This Row],[Number of samples]]," ")</f>
        <v>0.13285024154589373</v>
      </c>
      <c r="AG66" s="30">
        <f>IFERROR(_xlfn.XLOOKUP(GamleEksp[[#This Row],[Dataset (.h5)]],Andeler[Datasett (.h5)],Andeler[3 OCD]," ")/GamleEksp[[#This Row],[Number of samples]]," ")</f>
        <v>7.246376811594203E-3</v>
      </c>
      <c r="AH66" s="30">
        <f>IFERROR(_xlfn.XLOOKUP(GamleEksp[[#This Row],[Dataset (.h5)]],Andeler[Datasett (.h5)],Andeler[3 UAP]," ")/GamleEksp[[#This Row],[Number of samples]]," ")</f>
        <v>7.246376811594203E-3</v>
      </c>
    </row>
    <row r="67" spans="2:34" ht="48" outlineLevel="1">
      <c r="B67" s="38">
        <v>11727127</v>
      </c>
      <c r="C67" s="39" t="s">
        <v>169</v>
      </c>
      <c r="D67" s="39"/>
      <c r="E67" s="38" t="s">
        <v>166</v>
      </c>
      <c r="F67" s="38" t="str">
        <f>_xlfn.TEXTJOIN("_",TRUE,GamleEksp[[#This Row],[Complexity]],GamleEksp[[#This Row],[Dataset (.h5)]],"bs",GamleEksp[[#This Row],[batch size]],GamleEksp[[#This Row],[Learning rate]])</f>
        <v>B2_800_multiclass_diagnosis_bs_25_0.0001</v>
      </c>
      <c r="G67" s="2">
        <f>_xlfn.XLOOKUP(GamleEksp[[#This Row],[Dataset (.h5)]],Andeler[Datasett (.h5)],Andeler[resize_shape]," ")</f>
        <v>800</v>
      </c>
      <c r="H67" s="38" t="s">
        <v>25</v>
      </c>
      <c r="I67" s="2">
        <v>1E-4</v>
      </c>
      <c r="J67" s="38" t="s">
        <v>149</v>
      </c>
      <c r="K67" s="38">
        <v>25</v>
      </c>
      <c r="L67" s="38" t="s">
        <v>165</v>
      </c>
      <c r="M67" s="38" t="s">
        <v>171</v>
      </c>
      <c r="N67" s="2" t="s">
        <v>174</v>
      </c>
      <c r="O67" s="50">
        <v>0.90138169999999995</v>
      </c>
      <c r="P67" s="50">
        <v>0.76718883142149996</v>
      </c>
      <c r="Q67" s="50">
        <v>0.91292726999999996</v>
      </c>
      <c r="R67" s="50">
        <v>0.42761639093027898</v>
      </c>
      <c r="S67" s="50">
        <v>0.74358974358974295</v>
      </c>
      <c r="T67" s="50">
        <v>0.89191319999999996</v>
      </c>
      <c r="U67" s="50">
        <v>0.74963548742409003</v>
      </c>
      <c r="V67" s="50">
        <v>0.90224360000000003</v>
      </c>
      <c r="W67" s="50">
        <v>0.35594311594351202</v>
      </c>
      <c r="X67" s="50">
        <v>0.70192307692307598</v>
      </c>
      <c r="Y67" s="2">
        <f>_xlfn.XLOOKUP(GamleEksp[[#This Row],[Dataset (.h5)]],Andeler[Datasett (.h5)],Andeler[total]," ")</f>
        <v>1242</v>
      </c>
      <c r="Z67" s="30">
        <f>IFERROR(_xlfn.XLOOKUP(GamleEksp[[#This Row],[Dataset (.h5)]],Andeler[Datasett (.h5)],Andeler[Normale]," ")/GamleEksp[[#This Row],[Number of samples]]," ")</f>
        <v>0</v>
      </c>
      <c r="AA67" s="51">
        <f>IFERROR(_xlfn.XLOOKUP(GamleEksp[[#This Row],[Dataset (.h5)]],Andeler[Datasett (.h5)],Andeler[1 artrose]," ")/GamleEksp[[#This Row],[Number of samples]]," ")</f>
        <v>0.40016103059581321</v>
      </c>
      <c r="AB67" s="28">
        <f>IFERROR(_xlfn.XLOOKUP(GamleEksp[[#This Row],[Dataset (.h5)]],Andeler[Datasett (.h5)],Andeler[1 sklerose]," ")/GamleEksp[[#This Row],[Number of samples]]," ")</f>
        <v>7.9710144927536225E-2</v>
      </c>
      <c r="AC67" s="28">
        <f>IFERROR(_xlfn.XLOOKUP(GamleEksp[[#This Row],[Dataset (.h5)]],Andeler[Datasett (.h5)],Andeler[2 artrose]," ")/GamleEksp[[#This Row],[Number of samples]]," ")</f>
        <v>0.20853462157809985</v>
      </c>
      <c r="AD67" s="28">
        <f>IFERROR(_xlfn.XLOOKUP(GamleEksp[[#This Row],[Dataset (.h5)]],Andeler[Datasett (.h5)],Andeler[2 PL]," ")/GamleEksp[[#This Row],[Number of samples]]," ")</f>
        <v>7.4879227053140096E-2</v>
      </c>
      <c r="AE67" s="28">
        <f>IFERROR(_xlfn.XLOOKUP(GamleEksp[[#This Row],[Dataset (.h5)]],Andeler[Datasett (.h5)],Andeler[3 artrose]," ")/GamleEksp[[#This Row],[Number of samples]]," ")</f>
        <v>8.9371980676328497E-2</v>
      </c>
      <c r="AF67" s="28">
        <f>IFERROR(_xlfn.XLOOKUP(GamleEksp[[#This Row],[Dataset (.h5)]],Andeler[Datasett (.h5)],Andeler[3 MCD]," ")/GamleEksp[[#This Row],[Number of samples]]," ")</f>
        <v>0.13285024154589373</v>
      </c>
      <c r="AG67" s="28">
        <f>IFERROR(_xlfn.XLOOKUP(GamleEksp[[#This Row],[Dataset (.h5)]],Andeler[Datasett (.h5)],Andeler[3 OCD]," ")/GamleEksp[[#This Row],[Number of samples]]," ")</f>
        <v>7.246376811594203E-3</v>
      </c>
      <c r="AH67" s="28">
        <f>IFERROR(_xlfn.XLOOKUP(GamleEksp[[#This Row],[Dataset (.h5)]],Andeler[Datasett (.h5)],Andeler[3 UAP]," ")/GamleEksp[[#This Row],[Number of samples]]," ")</f>
        <v>7.246376811594203E-3</v>
      </c>
    </row>
    <row r="68" spans="2:34" ht="48" outlineLevel="1">
      <c r="B68" s="38">
        <v>11727129</v>
      </c>
      <c r="C68" s="39" t="s">
        <v>170</v>
      </c>
      <c r="D68" s="39"/>
      <c r="E68" s="38" t="s">
        <v>166</v>
      </c>
      <c r="F68" s="38" t="str">
        <f>_xlfn.TEXTJOIN("_",TRUE,GamleEksp[[#This Row],[Complexity]],GamleEksp[[#This Row],[Dataset (.h5)]],"bs",GamleEksp[[#This Row],[batch size]],GamleEksp[[#This Row],[Learning rate]])</f>
        <v>B2_800_multiclass_diagnosis_bs_25_0.00005</v>
      </c>
      <c r="G68" s="2">
        <f>_xlfn.XLOOKUP(GamleEksp[[#This Row],[Dataset (.h5)]],Andeler[Datasett (.h5)],Andeler[resize_shape]," ")</f>
        <v>800</v>
      </c>
      <c r="H68" s="38" t="s">
        <v>25</v>
      </c>
      <c r="I68" s="2">
        <v>5.0000000000000002E-5</v>
      </c>
      <c r="J68" s="38" t="s">
        <v>149</v>
      </c>
      <c r="K68" s="38">
        <v>25</v>
      </c>
      <c r="L68" s="38" t="s">
        <v>165</v>
      </c>
      <c r="M68" s="38" t="s">
        <v>172</v>
      </c>
      <c r="N68" s="2" t="s">
        <v>175</v>
      </c>
      <c r="O68" s="50">
        <v>0.91004479999999999</v>
      </c>
      <c r="P68" s="50">
        <v>0.73776353798141203</v>
      </c>
      <c r="Q68" s="50">
        <v>0.90972215000000001</v>
      </c>
      <c r="R68" s="50">
        <v>0.38661572683135498</v>
      </c>
      <c r="S68" s="50">
        <v>0.72756410256410198</v>
      </c>
      <c r="T68" s="50">
        <v>0.90355739999999996</v>
      </c>
      <c r="U68" s="50">
        <v>0.765607948405855</v>
      </c>
      <c r="V68" s="50">
        <v>0.90865386000000004</v>
      </c>
      <c r="W68" s="50">
        <v>0.34869648669866898</v>
      </c>
      <c r="X68" s="50">
        <v>0.72115384615384603</v>
      </c>
      <c r="Y68" s="2">
        <f>_xlfn.XLOOKUP(GamleEksp[[#This Row],[Dataset (.h5)]],Andeler[Datasett (.h5)],Andeler[total]," ")</f>
        <v>1242</v>
      </c>
      <c r="Z68" s="28">
        <f>IFERROR(_xlfn.XLOOKUP(GamleEksp[[#This Row],[Dataset (.h5)]],Andeler[Datasett (.h5)],Andeler[Normale]," ")/GamleEksp[[#This Row],[Number of samples]]," ")</f>
        <v>0</v>
      </c>
      <c r="AA68" s="51">
        <f>IFERROR(_xlfn.XLOOKUP(GamleEksp[[#This Row],[Dataset (.h5)]],Andeler[Datasett (.h5)],Andeler[1 artrose]," ")/GamleEksp[[#This Row],[Number of samples]]," ")</f>
        <v>0.40016103059581321</v>
      </c>
      <c r="AB68" s="28">
        <f>IFERROR(_xlfn.XLOOKUP(GamleEksp[[#This Row],[Dataset (.h5)]],Andeler[Datasett (.h5)],Andeler[1 sklerose]," ")/GamleEksp[[#This Row],[Number of samples]]," ")</f>
        <v>7.9710144927536225E-2</v>
      </c>
      <c r="AC68" s="28">
        <f>IFERROR(_xlfn.XLOOKUP(GamleEksp[[#This Row],[Dataset (.h5)]],Andeler[Datasett (.h5)],Andeler[2 artrose]," ")/GamleEksp[[#This Row],[Number of samples]]," ")</f>
        <v>0.20853462157809985</v>
      </c>
      <c r="AD68" s="28">
        <f>IFERROR(_xlfn.XLOOKUP(GamleEksp[[#This Row],[Dataset (.h5)]],Andeler[Datasett (.h5)],Andeler[2 PL]," ")/GamleEksp[[#This Row],[Number of samples]]," ")</f>
        <v>7.4879227053140096E-2</v>
      </c>
      <c r="AE68" s="28">
        <f>IFERROR(_xlfn.XLOOKUP(GamleEksp[[#This Row],[Dataset (.h5)]],Andeler[Datasett (.h5)],Andeler[3 artrose]," ")/GamleEksp[[#This Row],[Number of samples]]," ")</f>
        <v>8.9371980676328497E-2</v>
      </c>
      <c r="AF68" s="28">
        <f>IFERROR(_xlfn.XLOOKUP(GamleEksp[[#This Row],[Dataset (.h5)]],Andeler[Datasett (.h5)],Andeler[3 MCD]," ")/GamleEksp[[#This Row],[Number of samples]]," ")</f>
        <v>0.13285024154589373</v>
      </c>
      <c r="AG68" s="28">
        <f>IFERROR(_xlfn.XLOOKUP(GamleEksp[[#This Row],[Dataset (.h5)]],Andeler[Datasett (.h5)],Andeler[3 OCD]," ")/GamleEksp[[#This Row],[Number of samples]]," ")</f>
        <v>7.246376811594203E-3</v>
      </c>
      <c r="AH68" s="28">
        <f>IFERROR(_xlfn.XLOOKUP(GamleEksp[[#This Row],[Dataset (.h5)]],Andeler[Datasett (.h5)],Andeler[3 UAP]," ")/GamleEksp[[#This Row],[Number of samples]]," ")</f>
        <v>7.246376811594203E-3</v>
      </c>
    </row>
    <row r="69" spans="2:34" ht="48" outlineLevel="1">
      <c r="B69" s="38">
        <v>11727130</v>
      </c>
      <c r="C69" s="39" t="s">
        <v>173</v>
      </c>
      <c r="D69" s="39"/>
      <c r="E69" s="38" t="s">
        <v>166</v>
      </c>
      <c r="F69" s="38" t="str">
        <f>_xlfn.TEXTJOIN("_",TRUE,GamleEksp[[#This Row],[Complexity]],GamleEksp[[#This Row],[Dataset (.h5)]],"bs",GamleEksp[[#This Row],[batch size]],GamleEksp[[#This Row],[Learning rate]])</f>
        <v>B2_800_multiclass_diagnosis_bs_25_0.001</v>
      </c>
      <c r="G69" s="2">
        <f>_xlfn.XLOOKUP(GamleEksp[[#This Row],[Dataset (.h5)]],Andeler[Datasett (.h5)],Andeler[resize_shape]," ")</f>
        <v>800</v>
      </c>
      <c r="H69" s="2" t="s">
        <v>25</v>
      </c>
      <c r="I69" s="2">
        <v>1E-3</v>
      </c>
      <c r="J69" s="38" t="s">
        <v>149</v>
      </c>
      <c r="K69" s="38">
        <v>25</v>
      </c>
      <c r="L69" s="38" t="s">
        <v>165</v>
      </c>
      <c r="M69" s="49">
        <v>9.0555555555555556E-2</v>
      </c>
      <c r="N69" s="2" t="s">
        <v>176</v>
      </c>
      <c r="O69" s="50">
        <v>0.89313869999999995</v>
      </c>
      <c r="P69" s="50">
        <v>0.74484130647824898</v>
      </c>
      <c r="Q69" s="50">
        <v>0.91826934000000004</v>
      </c>
      <c r="R69" s="50">
        <v>0.39339284982200801</v>
      </c>
      <c r="S69" s="50">
        <v>0.75</v>
      </c>
      <c r="T69" s="50">
        <v>0.87443702999999995</v>
      </c>
      <c r="U69" s="50">
        <v>0.72000827177332805</v>
      </c>
      <c r="V69" s="50">
        <v>0.90438030000000003</v>
      </c>
      <c r="W69" s="50">
        <v>0.273423858121076</v>
      </c>
      <c r="X69" s="50">
        <v>0.70833333333333304</v>
      </c>
      <c r="Y69" s="2">
        <f>_xlfn.XLOOKUP(GamleEksp[[#This Row],[Dataset (.h5)]],Andeler[Datasett (.h5)],Andeler[total]," ")</f>
        <v>1242</v>
      </c>
      <c r="Z69" s="28">
        <f>IFERROR(_xlfn.XLOOKUP(GamleEksp[[#This Row],[Dataset (.h5)]],Andeler[Datasett (.h5)],Andeler[Normale]," ")/GamleEksp[[#This Row],[Number of samples]]," ")</f>
        <v>0</v>
      </c>
      <c r="AA69" s="51">
        <f>IFERROR(_xlfn.XLOOKUP(GamleEksp[[#This Row],[Dataset (.h5)]],Andeler[Datasett (.h5)],Andeler[1 artrose]," ")/GamleEksp[[#This Row],[Number of samples]]," ")</f>
        <v>0.40016103059581321</v>
      </c>
      <c r="AB69" s="28">
        <f>IFERROR(_xlfn.XLOOKUP(GamleEksp[[#This Row],[Dataset (.h5)]],Andeler[Datasett (.h5)],Andeler[1 sklerose]," ")/GamleEksp[[#This Row],[Number of samples]]," ")</f>
        <v>7.9710144927536225E-2</v>
      </c>
      <c r="AC69" s="28">
        <f>IFERROR(_xlfn.XLOOKUP(GamleEksp[[#This Row],[Dataset (.h5)]],Andeler[Datasett (.h5)],Andeler[2 artrose]," ")/GamleEksp[[#This Row],[Number of samples]]," ")</f>
        <v>0.20853462157809985</v>
      </c>
      <c r="AD69" s="28">
        <f>IFERROR(_xlfn.XLOOKUP(GamleEksp[[#This Row],[Dataset (.h5)]],Andeler[Datasett (.h5)],Andeler[2 PL]," ")/GamleEksp[[#This Row],[Number of samples]]," ")</f>
        <v>7.4879227053140096E-2</v>
      </c>
      <c r="AE69" s="28">
        <f>IFERROR(_xlfn.XLOOKUP(GamleEksp[[#This Row],[Dataset (.h5)]],Andeler[Datasett (.h5)],Andeler[3 artrose]," ")/GamleEksp[[#This Row],[Number of samples]]," ")</f>
        <v>8.9371980676328497E-2</v>
      </c>
      <c r="AF69" s="28">
        <f>IFERROR(_xlfn.XLOOKUP(GamleEksp[[#This Row],[Dataset (.h5)]],Andeler[Datasett (.h5)],Andeler[3 MCD]," ")/GamleEksp[[#This Row],[Number of samples]]," ")</f>
        <v>0.13285024154589373</v>
      </c>
      <c r="AG69" s="28">
        <f>IFERROR(_xlfn.XLOOKUP(GamleEksp[[#This Row],[Dataset (.h5)]],Andeler[Datasett (.h5)],Andeler[3 OCD]," ")/GamleEksp[[#This Row],[Number of samples]]," ")</f>
        <v>7.246376811594203E-3</v>
      </c>
      <c r="AH69" s="28">
        <f>IFERROR(_xlfn.XLOOKUP(GamleEksp[[#This Row],[Dataset (.h5)]],Andeler[Datasett (.h5)],Andeler[3 UAP]," ")/GamleEksp[[#This Row],[Number of samples]]," ")</f>
        <v>7.246376811594203E-3</v>
      </c>
    </row>
    <row r="70" spans="2:34" ht="48" outlineLevel="1">
      <c r="B70" s="32">
        <v>11727416</v>
      </c>
      <c r="C70" s="43" t="s">
        <v>177</v>
      </c>
      <c r="D70" s="43" t="s">
        <v>178</v>
      </c>
      <c r="E70" s="32" t="s">
        <v>166</v>
      </c>
      <c r="F70" s="36" t="str">
        <f>_xlfn.TEXTJOIN("_",TRUE,GamleEksp[[#This Row],[Complexity]],GamleEksp[[#This Row],[Dataset (.h5)]],"bs",GamleEksp[[#This Row],[batch size]],GamleEksp[[#This Row],[Learning rate]])</f>
        <v>B3_800_multiclass_diagnosis_bs_25_0.0005</v>
      </c>
      <c r="G70" s="54">
        <f>_xlfn.XLOOKUP(GamleEksp[[#This Row],[Dataset (.h5)]],Andeler[Datasett (.h5)],Andeler[resize_shape]," ")</f>
        <v>800</v>
      </c>
      <c r="H70" s="54" t="s">
        <v>30</v>
      </c>
      <c r="I70" s="43">
        <v>5.0000000000000001E-4</v>
      </c>
      <c r="J70" s="43" t="s">
        <v>149</v>
      </c>
      <c r="K70" s="43">
        <v>25</v>
      </c>
      <c r="L70" s="32" t="s">
        <v>165</v>
      </c>
      <c r="M70" s="52"/>
      <c r="N70" s="4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4">
        <f>_xlfn.XLOOKUP(GamleEksp[[#This Row],[Dataset (.h5)]],Andeler[Datasett (.h5)],Andeler[total]," ")</f>
        <v>1242</v>
      </c>
      <c r="Z70" s="29">
        <f>IFERROR(_xlfn.XLOOKUP(GamleEksp[[#This Row],[Dataset (.h5)]],Andeler[Datasett (.h5)],Andeler[Normale]," ")/GamleEksp[[#This Row],[Number of samples]]," ")</f>
        <v>0</v>
      </c>
      <c r="AA70" s="55">
        <f>IFERROR(_xlfn.XLOOKUP(GamleEksp[[#This Row],[Dataset (.h5)]],Andeler[Datasett (.h5)],Andeler[1 artrose]," ")/GamleEksp[[#This Row],[Number of samples]]," ")</f>
        <v>0.40016103059581321</v>
      </c>
      <c r="AB70" s="29">
        <f>IFERROR(_xlfn.XLOOKUP(GamleEksp[[#This Row],[Dataset (.h5)]],Andeler[Datasett (.h5)],Andeler[1 sklerose]," ")/GamleEksp[[#This Row],[Number of samples]]," ")</f>
        <v>7.9710144927536225E-2</v>
      </c>
      <c r="AC70" s="29">
        <f>IFERROR(_xlfn.XLOOKUP(GamleEksp[[#This Row],[Dataset (.h5)]],Andeler[Datasett (.h5)],Andeler[2 artrose]," ")/GamleEksp[[#This Row],[Number of samples]]," ")</f>
        <v>0.20853462157809985</v>
      </c>
      <c r="AD70" s="29">
        <f>IFERROR(_xlfn.XLOOKUP(GamleEksp[[#This Row],[Dataset (.h5)]],Andeler[Datasett (.h5)],Andeler[2 PL]," ")/GamleEksp[[#This Row],[Number of samples]]," ")</f>
        <v>7.4879227053140096E-2</v>
      </c>
      <c r="AE70" s="29">
        <f>IFERROR(_xlfn.XLOOKUP(GamleEksp[[#This Row],[Dataset (.h5)]],Andeler[Datasett (.h5)],Andeler[3 artrose]," ")/GamleEksp[[#This Row],[Number of samples]]," ")</f>
        <v>8.9371980676328497E-2</v>
      </c>
      <c r="AF70" s="29">
        <f>IFERROR(_xlfn.XLOOKUP(GamleEksp[[#This Row],[Dataset (.h5)]],Andeler[Datasett (.h5)],Andeler[3 MCD]," ")/GamleEksp[[#This Row],[Number of samples]]," ")</f>
        <v>0.13285024154589373</v>
      </c>
      <c r="AG70" s="29">
        <f>IFERROR(_xlfn.XLOOKUP(GamleEksp[[#This Row],[Dataset (.h5)]],Andeler[Datasett (.h5)],Andeler[3 OCD]," ")/GamleEksp[[#This Row],[Number of samples]]," ")</f>
        <v>7.246376811594203E-3</v>
      </c>
      <c r="AH70" s="29">
        <f>IFERROR(_xlfn.XLOOKUP(GamleEksp[[#This Row],[Dataset (.h5)]],Andeler[Datasett (.h5)],Andeler[3 UAP]," ")/GamleEksp[[#This Row],[Number of samples]]," ")</f>
        <v>7.246376811594203E-3</v>
      </c>
    </row>
    <row r="71" spans="2:34" ht="48" outlineLevel="1">
      <c r="B71" s="38">
        <v>11727437</v>
      </c>
      <c r="C71" s="39" t="s">
        <v>179</v>
      </c>
      <c r="D71" s="39"/>
      <c r="E71" s="38" t="s">
        <v>166</v>
      </c>
      <c r="F71" s="38" t="str">
        <f>_xlfn.TEXTJOIN("_",TRUE,GamleEksp[[#This Row],[Complexity]],GamleEksp[[#This Row],[Dataset (.h5)]],"bs",GamleEksp[[#This Row],[batch size]],GamleEksp[[#This Row],[Learning rate]])</f>
        <v>B1_800_multiclass_diagnosis_bs_25_0.0005</v>
      </c>
      <c r="G71" s="2">
        <f>_xlfn.XLOOKUP(GamleEksp[[#This Row],[Dataset (.h5)]],Andeler[Datasett (.h5)],Andeler[resize_shape]," ")</f>
        <v>800</v>
      </c>
      <c r="H71" s="2" t="s">
        <v>35</v>
      </c>
      <c r="I71" s="2">
        <v>5.0000000000000001E-4</v>
      </c>
      <c r="J71" s="2" t="s">
        <v>149</v>
      </c>
      <c r="K71" s="2">
        <v>25</v>
      </c>
      <c r="L71" s="38" t="s">
        <v>165</v>
      </c>
      <c r="M71" s="49">
        <v>0.10364583333333333</v>
      </c>
      <c r="N71" s="2" t="s">
        <v>182</v>
      </c>
      <c r="O71" s="50">
        <v>0.90167755000000005</v>
      </c>
      <c r="P71" s="50">
        <v>0.69193939202257004</v>
      </c>
      <c r="Q71" s="50">
        <v>0.91826920000000001</v>
      </c>
      <c r="R71" s="50">
        <v>0.41501878045599899</v>
      </c>
      <c r="S71" s="50">
        <v>0.75320512820512797</v>
      </c>
      <c r="T71" s="50">
        <v>0.90132420000000002</v>
      </c>
      <c r="U71" s="50">
        <v>0.77069596047042499</v>
      </c>
      <c r="V71" s="50">
        <v>0.91239320000000002</v>
      </c>
      <c r="W71" s="50">
        <v>0.34544990496844202</v>
      </c>
      <c r="X71" s="50">
        <v>0.73076923076922995</v>
      </c>
      <c r="Y71" s="2">
        <f>_xlfn.XLOOKUP(GamleEksp[[#This Row],[Dataset (.h5)]],Andeler[Datasett (.h5)],Andeler[total]," ")</f>
        <v>1242</v>
      </c>
      <c r="Z71" s="28">
        <f>IFERROR(_xlfn.XLOOKUP(GamleEksp[[#This Row],[Dataset (.h5)]],Andeler[Datasett (.h5)],Andeler[Normale]," ")/GamleEksp[[#This Row],[Number of samples]]," ")</f>
        <v>0</v>
      </c>
      <c r="AA71" s="51">
        <f>IFERROR(_xlfn.XLOOKUP(GamleEksp[[#This Row],[Dataset (.h5)]],Andeler[Datasett (.h5)],Andeler[1 artrose]," ")/GamleEksp[[#This Row],[Number of samples]]," ")</f>
        <v>0.40016103059581321</v>
      </c>
      <c r="AB71" s="28">
        <f>IFERROR(_xlfn.XLOOKUP(GamleEksp[[#This Row],[Dataset (.h5)]],Andeler[Datasett (.h5)],Andeler[1 sklerose]," ")/GamleEksp[[#This Row],[Number of samples]]," ")</f>
        <v>7.9710144927536225E-2</v>
      </c>
      <c r="AC71" s="28">
        <f>IFERROR(_xlfn.XLOOKUP(GamleEksp[[#This Row],[Dataset (.h5)]],Andeler[Datasett (.h5)],Andeler[2 artrose]," ")/GamleEksp[[#This Row],[Number of samples]]," ")</f>
        <v>0.20853462157809985</v>
      </c>
      <c r="AD71" s="28">
        <f>IFERROR(_xlfn.XLOOKUP(GamleEksp[[#This Row],[Dataset (.h5)]],Andeler[Datasett (.h5)],Andeler[2 PL]," ")/GamleEksp[[#This Row],[Number of samples]]," ")</f>
        <v>7.4879227053140096E-2</v>
      </c>
      <c r="AE71" s="28">
        <f>IFERROR(_xlfn.XLOOKUP(GamleEksp[[#This Row],[Dataset (.h5)]],Andeler[Datasett (.h5)],Andeler[3 artrose]," ")/GamleEksp[[#This Row],[Number of samples]]," ")</f>
        <v>8.9371980676328497E-2</v>
      </c>
      <c r="AF71" s="28">
        <f>IFERROR(_xlfn.XLOOKUP(GamleEksp[[#This Row],[Dataset (.h5)]],Andeler[Datasett (.h5)],Andeler[3 MCD]," ")/GamleEksp[[#This Row],[Number of samples]]," ")</f>
        <v>0.13285024154589373</v>
      </c>
      <c r="AG71" s="28">
        <f>IFERROR(_xlfn.XLOOKUP(GamleEksp[[#This Row],[Dataset (.h5)]],Andeler[Datasett (.h5)],Andeler[3 OCD]," ")/GamleEksp[[#This Row],[Number of samples]]," ")</f>
        <v>7.246376811594203E-3</v>
      </c>
      <c r="AH71" s="28">
        <f>IFERROR(_xlfn.XLOOKUP(GamleEksp[[#This Row],[Dataset (.h5)]],Andeler[Datasett (.h5)],Andeler[3 UAP]," ")/GamleEksp[[#This Row],[Number of samples]]," ")</f>
        <v>7.246376811594203E-3</v>
      </c>
    </row>
    <row r="72" spans="2:34" ht="48" outlineLevel="1">
      <c r="B72" s="38">
        <v>11727508</v>
      </c>
      <c r="C72" s="39" t="s">
        <v>180</v>
      </c>
      <c r="D72" s="39" t="s">
        <v>181</v>
      </c>
      <c r="E72" s="38" t="s">
        <v>166</v>
      </c>
      <c r="F72" s="38" t="str">
        <f>_xlfn.TEXTJOIN("_",TRUE,GamleEksp[[#This Row],[Complexity]],GamleEksp[[#This Row],[Dataset (.h5)]],"bs",GamleEksp[[#This Row],[batch size]],GamleEksp[[#This Row],[Learning rate]])</f>
        <v>B1_800_multiclass_diagnosis_bs_25_0.00005</v>
      </c>
      <c r="G72" s="2">
        <f>_xlfn.XLOOKUP(GamleEksp[[#This Row],[Dataset (.h5)]],Andeler[Datasett (.h5)],Andeler[resize_shape]," ")</f>
        <v>800</v>
      </c>
      <c r="H72" s="38" t="s">
        <v>35</v>
      </c>
      <c r="I72" s="2">
        <v>5.0000000000000002E-5</v>
      </c>
      <c r="J72" s="38" t="s">
        <v>149</v>
      </c>
      <c r="K72" s="38">
        <v>25</v>
      </c>
      <c r="L72" s="38" t="s">
        <v>165</v>
      </c>
      <c r="M72" s="49">
        <v>6.8032407407407403E-2</v>
      </c>
      <c r="N72" s="2" t="s">
        <v>183</v>
      </c>
      <c r="O72" s="50">
        <v>0.91054093999999997</v>
      </c>
      <c r="P72" s="50">
        <v>0.73762731640488199</v>
      </c>
      <c r="Q72" s="50">
        <v>0.91346156999999994</v>
      </c>
      <c r="R72" s="50">
        <v>0.38840680081938</v>
      </c>
      <c r="S72" s="50">
        <v>0.74038461538461497</v>
      </c>
      <c r="T72" s="50">
        <v>0.90416753000000005</v>
      </c>
      <c r="U72" s="50">
        <v>0.77234199865499997</v>
      </c>
      <c r="V72" s="50">
        <v>0.89743589999999995</v>
      </c>
      <c r="W72" s="50">
        <v>0.27308305159931101</v>
      </c>
      <c r="X72" s="50">
        <v>0.69230769230769196</v>
      </c>
      <c r="Y72" s="2">
        <f>_xlfn.XLOOKUP(GamleEksp[[#This Row],[Dataset (.h5)]],Andeler[Datasett (.h5)],Andeler[total]," ")</f>
        <v>1242</v>
      </c>
      <c r="Z72" s="28">
        <f>IFERROR(_xlfn.XLOOKUP(GamleEksp[[#This Row],[Dataset (.h5)]],Andeler[Datasett (.h5)],Andeler[Normale]," ")/GamleEksp[[#This Row],[Number of samples]]," ")</f>
        <v>0</v>
      </c>
      <c r="AA72" s="51">
        <f>IFERROR(_xlfn.XLOOKUP(GamleEksp[[#This Row],[Dataset (.h5)]],Andeler[Datasett (.h5)],Andeler[1 artrose]," ")/GamleEksp[[#This Row],[Number of samples]]," ")</f>
        <v>0.40016103059581321</v>
      </c>
      <c r="AB72" s="28">
        <f>IFERROR(_xlfn.XLOOKUP(GamleEksp[[#This Row],[Dataset (.h5)]],Andeler[Datasett (.h5)],Andeler[1 sklerose]," ")/GamleEksp[[#This Row],[Number of samples]]," ")</f>
        <v>7.9710144927536225E-2</v>
      </c>
      <c r="AC72" s="28">
        <f>IFERROR(_xlfn.XLOOKUP(GamleEksp[[#This Row],[Dataset (.h5)]],Andeler[Datasett (.h5)],Andeler[2 artrose]," ")/GamleEksp[[#This Row],[Number of samples]]," ")</f>
        <v>0.20853462157809985</v>
      </c>
      <c r="AD72" s="28">
        <f>IFERROR(_xlfn.XLOOKUP(GamleEksp[[#This Row],[Dataset (.h5)]],Andeler[Datasett (.h5)],Andeler[2 PL]," ")/GamleEksp[[#This Row],[Number of samples]]," ")</f>
        <v>7.4879227053140096E-2</v>
      </c>
      <c r="AE72" s="28">
        <f>IFERROR(_xlfn.XLOOKUP(GamleEksp[[#This Row],[Dataset (.h5)]],Andeler[Datasett (.h5)],Andeler[3 artrose]," ")/GamleEksp[[#This Row],[Number of samples]]," ")</f>
        <v>8.9371980676328497E-2</v>
      </c>
      <c r="AF72" s="28">
        <f>IFERROR(_xlfn.XLOOKUP(GamleEksp[[#This Row],[Dataset (.h5)]],Andeler[Datasett (.h5)],Andeler[3 MCD]," ")/GamleEksp[[#This Row],[Number of samples]]," ")</f>
        <v>0.13285024154589373</v>
      </c>
      <c r="AG72" s="28">
        <f>IFERROR(_xlfn.XLOOKUP(GamleEksp[[#This Row],[Dataset (.h5)]],Andeler[Datasett (.h5)],Andeler[3 OCD]," ")/GamleEksp[[#This Row],[Number of samples]]," ")</f>
        <v>7.246376811594203E-3</v>
      </c>
      <c r="AH72" s="28">
        <f>IFERROR(_xlfn.XLOOKUP(GamleEksp[[#This Row],[Dataset (.h5)]],Andeler[Datasett (.h5)],Andeler[3 UAP]," ")/GamleEksp[[#This Row],[Number of samples]]," ")</f>
        <v>7.246376811594203E-3</v>
      </c>
    </row>
    <row r="73" spans="2:34" ht="45" customHeight="1" outlineLevel="1">
      <c r="B73" s="38">
        <v>11733779</v>
      </c>
      <c r="C73" s="39" t="s">
        <v>184</v>
      </c>
      <c r="D73" s="39"/>
      <c r="E73" s="38" t="s">
        <v>166</v>
      </c>
      <c r="F73" s="38" t="str">
        <f>_xlfn.TEXTJOIN("_",TRUE,GamleEksp[[#This Row],[Complexity]],GamleEksp[[#This Row],[Dataset (.h5)]],"bs",GamleEksp[[#This Row],[batch size]],GamleEksp[[#This Row],[Learning rate]])</f>
        <v>B3_800_multiclass_diagnosis_bs_16_0.0001</v>
      </c>
      <c r="G73" s="2">
        <f>_xlfn.XLOOKUP(GamleEksp[[#This Row],[Dataset (.h5)]],Andeler[Datasett (.h5)],Andeler[resize_shape]," ")</f>
        <v>800</v>
      </c>
      <c r="H73" s="38" t="s">
        <v>30</v>
      </c>
      <c r="I73" s="2">
        <v>1E-4</v>
      </c>
      <c r="J73" s="2" t="s">
        <v>149</v>
      </c>
      <c r="K73" s="2">
        <v>16</v>
      </c>
      <c r="L73" s="38" t="s">
        <v>165</v>
      </c>
      <c r="M73" s="49">
        <v>5.710648148148148E-2</v>
      </c>
      <c r="N73" s="2" t="s">
        <v>113</v>
      </c>
      <c r="O73" s="50">
        <v>0.90273654000000003</v>
      </c>
      <c r="P73" s="50">
        <v>0.70789057283821</v>
      </c>
      <c r="Q73" s="50">
        <v>0.91826934000000004</v>
      </c>
      <c r="R73" s="50">
        <v>0.42797142213171602</v>
      </c>
      <c r="S73" s="50">
        <v>0.75320512820512797</v>
      </c>
      <c r="T73" s="50">
        <v>0.90509740000000005</v>
      </c>
      <c r="U73" s="50">
        <v>0.75947000640863904</v>
      </c>
      <c r="V73" s="50">
        <v>0.91399580000000002</v>
      </c>
      <c r="W73" s="50">
        <v>0.372940975917253</v>
      </c>
      <c r="X73" s="50">
        <v>0.73397435897435803</v>
      </c>
      <c r="Y73" s="2">
        <f>_xlfn.XLOOKUP(GamleEksp[[#This Row],[Dataset (.h5)]],Andeler[Datasett (.h5)],Andeler[total]," ")</f>
        <v>1242</v>
      </c>
      <c r="Z73" s="28">
        <f>IFERROR(_xlfn.XLOOKUP(GamleEksp[[#This Row],[Dataset (.h5)]],Andeler[Datasett (.h5)],Andeler[Normale]," ")/GamleEksp[[#This Row],[Number of samples]]," ")</f>
        <v>0</v>
      </c>
      <c r="AA73" s="51">
        <f>IFERROR(_xlfn.XLOOKUP(GamleEksp[[#This Row],[Dataset (.h5)]],Andeler[Datasett (.h5)],Andeler[1 artrose]," ")/GamleEksp[[#This Row],[Number of samples]]," ")</f>
        <v>0.40016103059581321</v>
      </c>
      <c r="AB73" s="28">
        <f>IFERROR(_xlfn.XLOOKUP(GamleEksp[[#This Row],[Dataset (.h5)]],Andeler[Datasett (.h5)],Andeler[1 sklerose]," ")/GamleEksp[[#This Row],[Number of samples]]," ")</f>
        <v>7.9710144927536225E-2</v>
      </c>
      <c r="AC73" s="28">
        <f>IFERROR(_xlfn.XLOOKUP(GamleEksp[[#This Row],[Dataset (.h5)]],Andeler[Datasett (.h5)],Andeler[2 artrose]," ")/GamleEksp[[#This Row],[Number of samples]]," ")</f>
        <v>0.20853462157809985</v>
      </c>
      <c r="AD73" s="28">
        <f>IFERROR(_xlfn.XLOOKUP(GamleEksp[[#This Row],[Dataset (.h5)]],Andeler[Datasett (.h5)],Andeler[2 PL]," ")/GamleEksp[[#This Row],[Number of samples]]," ")</f>
        <v>7.4879227053140096E-2</v>
      </c>
      <c r="AE73" s="28">
        <f>IFERROR(_xlfn.XLOOKUP(GamleEksp[[#This Row],[Dataset (.h5)]],Andeler[Datasett (.h5)],Andeler[3 artrose]," ")/GamleEksp[[#This Row],[Number of samples]]," ")</f>
        <v>8.9371980676328497E-2</v>
      </c>
      <c r="AF73" s="28">
        <f>IFERROR(_xlfn.XLOOKUP(GamleEksp[[#This Row],[Dataset (.h5)]],Andeler[Datasett (.h5)],Andeler[3 MCD]," ")/GamleEksp[[#This Row],[Number of samples]]," ")</f>
        <v>0.13285024154589373</v>
      </c>
      <c r="AG73" s="28">
        <f>IFERROR(_xlfn.XLOOKUP(GamleEksp[[#This Row],[Dataset (.h5)]],Andeler[Datasett (.h5)],Andeler[3 OCD]," ")/GamleEksp[[#This Row],[Number of samples]]," ")</f>
        <v>7.246376811594203E-3</v>
      </c>
      <c r="AH73" s="28">
        <f>IFERROR(_xlfn.XLOOKUP(GamleEksp[[#This Row],[Dataset (.h5)]],Andeler[Datasett (.h5)],Andeler[3 UAP]," ")/GamleEksp[[#This Row],[Number of samples]]," ")</f>
        <v>7.246376811594203E-3</v>
      </c>
    </row>
    <row r="74" spans="2:34" ht="48" outlineLevel="1">
      <c r="B74" s="38">
        <v>11733784</v>
      </c>
      <c r="C74" s="39" t="s">
        <v>185</v>
      </c>
      <c r="D74" s="39"/>
      <c r="E74" s="38" t="s">
        <v>166</v>
      </c>
      <c r="F74" s="38" t="str">
        <f>_xlfn.TEXTJOIN("_",TRUE,GamleEksp[[#This Row],[Complexity]],GamleEksp[[#This Row],[Dataset (.h5)]],"bs",GamleEksp[[#This Row],[batch size]],GamleEksp[[#This Row],[Learning rate]])</f>
        <v>B3_800_multiclass_diagnosis_bs_16_0.0005</v>
      </c>
      <c r="G74" s="2">
        <f>_xlfn.XLOOKUP(GamleEksp[[#This Row],[Dataset (.h5)]],Andeler[Datasett (.h5)],Andeler[resize_shape]," ")</f>
        <v>800</v>
      </c>
      <c r="H74" s="38" t="s">
        <v>30</v>
      </c>
      <c r="I74" s="2">
        <v>5.0000000000000001E-4</v>
      </c>
      <c r="J74" s="2" t="s">
        <v>149</v>
      </c>
      <c r="K74" s="2">
        <v>16</v>
      </c>
      <c r="L74" s="38" t="s">
        <v>165</v>
      </c>
      <c r="M74" s="49">
        <v>5.6157407407407406E-2</v>
      </c>
      <c r="N74" s="2" t="s">
        <v>130</v>
      </c>
      <c r="O74" s="50">
        <v>0.90495044000000002</v>
      </c>
      <c r="P74" s="50">
        <v>0.77642033439235203</v>
      </c>
      <c r="Q74" s="50">
        <v>0.90865386000000004</v>
      </c>
      <c r="R74" s="50">
        <v>0.38257977975976298</v>
      </c>
      <c r="S74" s="50">
        <v>0.72756410256410198</v>
      </c>
      <c r="T74" s="50">
        <v>0.89916490000000004</v>
      </c>
      <c r="U74" s="50">
        <v>0.75246073315391204</v>
      </c>
      <c r="V74" s="50">
        <v>0.90598285000000001</v>
      </c>
      <c r="W74" s="50">
        <v>0.37505333091202903</v>
      </c>
      <c r="X74" s="50">
        <v>0.71153846153846101</v>
      </c>
      <c r="Y74" s="2">
        <f>_xlfn.XLOOKUP(GamleEksp[[#This Row],[Dataset (.h5)]],Andeler[Datasett (.h5)],Andeler[total]," ")</f>
        <v>1242</v>
      </c>
      <c r="Z74" s="28">
        <f>IFERROR(_xlfn.XLOOKUP(GamleEksp[[#This Row],[Dataset (.h5)]],Andeler[Datasett (.h5)],Andeler[Normale]," ")/GamleEksp[[#This Row],[Number of samples]]," ")</f>
        <v>0</v>
      </c>
      <c r="AA74" s="51">
        <f>IFERROR(_xlfn.XLOOKUP(GamleEksp[[#This Row],[Dataset (.h5)]],Andeler[Datasett (.h5)],Andeler[1 artrose]," ")/GamleEksp[[#This Row],[Number of samples]]," ")</f>
        <v>0.40016103059581321</v>
      </c>
      <c r="AB74" s="28">
        <f>IFERROR(_xlfn.XLOOKUP(GamleEksp[[#This Row],[Dataset (.h5)]],Andeler[Datasett (.h5)],Andeler[1 sklerose]," ")/GamleEksp[[#This Row],[Number of samples]]," ")</f>
        <v>7.9710144927536225E-2</v>
      </c>
      <c r="AC74" s="28">
        <f>IFERROR(_xlfn.XLOOKUP(GamleEksp[[#This Row],[Dataset (.h5)]],Andeler[Datasett (.h5)],Andeler[2 artrose]," ")/GamleEksp[[#This Row],[Number of samples]]," ")</f>
        <v>0.20853462157809985</v>
      </c>
      <c r="AD74" s="28">
        <f>IFERROR(_xlfn.XLOOKUP(GamleEksp[[#This Row],[Dataset (.h5)]],Andeler[Datasett (.h5)],Andeler[2 PL]," ")/GamleEksp[[#This Row],[Number of samples]]," ")</f>
        <v>7.4879227053140096E-2</v>
      </c>
      <c r="AE74" s="28">
        <f>IFERROR(_xlfn.XLOOKUP(GamleEksp[[#This Row],[Dataset (.h5)]],Andeler[Datasett (.h5)],Andeler[3 artrose]," ")/GamleEksp[[#This Row],[Number of samples]]," ")</f>
        <v>8.9371980676328497E-2</v>
      </c>
      <c r="AF74" s="28">
        <f>IFERROR(_xlfn.XLOOKUP(GamleEksp[[#This Row],[Dataset (.h5)]],Andeler[Datasett (.h5)],Andeler[3 MCD]," ")/GamleEksp[[#This Row],[Number of samples]]," ")</f>
        <v>0.13285024154589373</v>
      </c>
      <c r="AG74" s="28">
        <f>IFERROR(_xlfn.XLOOKUP(GamleEksp[[#This Row],[Dataset (.h5)]],Andeler[Datasett (.h5)],Andeler[3 OCD]," ")/GamleEksp[[#This Row],[Number of samples]]," ")</f>
        <v>7.246376811594203E-3</v>
      </c>
      <c r="AH74" s="28">
        <f>IFERROR(_xlfn.XLOOKUP(GamleEksp[[#This Row],[Dataset (.h5)]],Andeler[Datasett (.h5)],Andeler[3 UAP]," ")/GamleEksp[[#This Row],[Number of samples]]," ")</f>
        <v>7.246376811594203E-3</v>
      </c>
    </row>
    <row r="75" spans="2:34" ht="48" outlineLevel="1">
      <c r="B75" s="38">
        <v>11739935</v>
      </c>
      <c r="C75" s="39" t="s">
        <v>196</v>
      </c>
      <c r="D75" s="39"/>
      <c r="E75" s="38" t="s">
        <v>197</v>
      </c>
      <c r="F75" s="38" t="str">
        <f>_xlfn.TEXTJOIN("_",TRUE,GamleEksp[[#This Row],[Complexity]],GamleEksp[[#This Row],[Dataset (.h5)]],"bs",GamleEksp[[#This Row],[batch size]],GamleEksp[[#This Row],[Learning rate]])</f>
        <v>B1_800_multiclass_complete_bs_16_0.0005</v>
      </c>
      <c r="G75" s="2">
        <f>_xlfn.XLOOKUP(GamleEksp[[#This Row],[Dataset (.h5)]],Andeler[Datasett (.h5)],Andeler[resize_shape]," ")</f>
        <v>800</v>
      </c>
      <c r="H75" s="38" t="s">
        <v>35</v>
      </c>
      <c r="I75" s="2">
        <v>5.0000000000000001E-4</v>
      </c>
      <c r="J75" s="2" t="s">
        <v>149</v>
      </c>
      <c r="K75" s="2">
        <v>16</v>
      </c>
      <c r="L75" s="38" t="s">
        <v>198</v>
      </c>
      <c r="M75" s="49">
        <v>4.8645833333333333E-2</v>
      </c>
      <c r="N75" s="2" t="s">
        <v>99</v>
      </c>
      <c r="O75" s="50">
        <v>0.79165750000000001</v>
      </c>
      <c r="P75" s="50">
        <v>0.74664861158467599</v>
      </c>
      <c r="Q75" s="50">
        <v>0.88055550000000005</v>
      </c>
      <c r="R75" s="50">
        <v>0.354745568743698</v>
      </c>
      <c r="S75" s="50">
        <v>0.52063492063492001</v>
      </c>
      <c r="T75" s="50">
        <v>0.80142100000000005</v>
      </c>
      <c r="U75" s="50">
        <v>0.76964514036547804</v>
      </c>
      <c r="V75" s="50">
        <v>0.88373020000000002</v>
      </c>
      <c r="W75" s="50">
        <v>0.36343476462933599</v>
      </c>
      <c r="X75" s="50">
        <v>0.53015873015873005</v>
      </c>
      <c r="Y75" s="2">
        <f>_xlfn.XLOOKUP(GamleEksp[[#This Row],[Dataset (.h5)]],Andeler[Datasett (.h5)],Andeler[total]," ")</f>
        <v>1253</v>
      </c>
      <c r="Z75" s="28">
        <f>IFERROR(_xlfn.XLOOKUP(GamleEksp[[#This Row],[Dataset (.h5)]],Andeler[Datasett (.h5)],Andeler[Normale]," ")/GamleEksp[[#This Row],[Number of samples]]," ")</f>
        <v>0</v>
      </c>
      <c r="AA75" s="51">
        <f>IFERROR(_xlfn.XLOOKUP(GamleEksp[[#This Row],[Dataset (.h5)]],Andeler[Datasett (.h5)],Andeler[1 artrose]," ")/GamleEksp[[#This Row],[Number of samples]]," ")</f>
        <v>0.39664804469273746</v>
      </c>
      <c r="AB75" s="28">
        <f>IFERROR(_xlfn.XLOOKUP(GamleEksp[[#This Row],[Dataset (.h5)]],Andeler[Datasett (.h5)],Andeler[1 sklerose]," ")/GamleEksp[[#This Row],[Number of samples]]," ")</f>
        <v>7.9010375099760569E-2</v>
      </c>
      <c r="AC75" s="28">
        <f>IFERROR(_xlfn.XLOOKUP(GamleEksp[[#This Row],[Dataset (.h5)]],Andeler[Datasett (.h5)],Andeler[2 artrose]," ")/GamleEksp[[#This Row],[Number of samples]]," ")</f>
        <v>0.20670391061452514</v>
      </c>
      <c r="AD75" s="28">
        <f>IFERROR(_xlfn.XLOOKUP(GamleEksp[[#This Row],[Dataset (.h5)]],Andeler[Datasett (.h5)],Andeler[2 PL]," ")/GamleEksp[[#This Row],[Number of samples]]," ")</f>
        <v>7.4221867517956897E-2</v>
      </c>
      <c r="AE75" s="28">
        <f>IFERROR(_xlfn.XLOOKUP(GamleEksp[[#This Row],[Dataset (.h5)]],Andeler[Datasett (.h5)],Andeler[3 artrose]," ")/GamleEksp[[#This Row],[Number of samples]]," ")</f>
        <v>8.8587390263367913E-2</v>
      </c>
      <c r="AF75" s="28">
        <f>IFERROR(_xlfn.XLOOKUP(GamleEksp[[#This Row],[Dataset (.h5)]],Andeler[Datasett (.h5)],Andeler[3 MCD]," ")/GamleEksp[[#This Row],[Number of samples]]," ")</f>
        <v>0.13168395849960096</v>
      </c>
      <c r="AG75" s="28">
        <f>IFERROR(_xlfn.XLOOKUP(GamleEksp[[#This Row],[Dataset (.h5)]],Andeler[Datasett (.h5)],Andeler[3 OCD]," ")/GamleEksp[[#This Row],[Number of samples]]," ")</f>
        <v>1.596169193934557E-2</v>
      </c>
      <c r="AH75" s="28">
        <f>IFERROR(_xlfn.XLOOKUP(GamleEksp[[#This Row],[Dataset (.h5)]],Andeler[Datasett (.h5)],Andeler[3 UAP]," ")/GamleEksp[[#This Row],[Number of samples]]," ")</f>
        <v>7.1827613727055064E-3</v>
      </c>
    </row>
    <row r="76" spans="2:34" ht="48" outlineLevel="1">
      <c r="B76" s="38">
        <v>11741640</v>
      </c>
      <c r="C76" s="31" t="s">
        <v>200</v>
      </c>
      <c r="D76" s="39" t="s">
        <v>201</v>
      </c>
      <c r="E76" s="38" t="s">
        <v>148</v>
      </c>
      <c r="F76" s="38" t="str">
        <f>_xlfn.TEXTJOIN("_",TRUE,GamleEksp[[#This Row],[Complexity]],GamleEksp[[#This Row],[Dataset (.h5)]],"bs",GamleEksp[[#This Row],[batch size]],GamleEksp[[#This Row],[Learning rate]])</f>
        <v>B1_800_multiclass20_lvl_bs_25_0.0001</v>
      </c>
      <c r="G76" s="2">
        <f>_xlfn.XLOOKUP(GamleEksp[[#This Row],[Dataset (.h5)]],Andeler[Datasett (.h5)],Andeler[resize_shape]," ")</f>
        <v>800</v>
      </c>
      <c r="H76" s="38" t="s">
        <v>35</v>
      </c>
      <c r="I76" s="2">
        <v>1E-4</v>
      </c>
      <c r="J76" s="2" t="s">
        <v>149</v>
      </c>
      <c r="K76" s="2">
        <v>25</v>
      </c>
      <c r="L76" s="38" t="s">
        <v>150</v>
      </c>
      <c r="M76" s="49"/>
      <c r="N76" s="2" t="s">
        <v>203</v>
      </c>
      <c r="O76" s="50">
        <v>0.77286463999999999</v>
      </c>
      <c r="P76" s="50">
        <v>0.77479763199226703</v>
      </c>
      <c r="Q76" s="50">
        <v>0.69230769999999997</v>
      </c>
      <c r="R76" s="50">
        <v>0</v>
      </c>
      <c r="S76" s="50">
        <v>1</v>
      </c>
      <c r="T76" s="50">
        <v>0.75268816999999999</v>
      </c>
      <c r="U76" s="50">
        <v>0.75510450646369398</v>
      </c>
      <c r="V76" s="50">
        <v>0.67582416999999995</v>
      </c>
      <c r="W76" s="50">
        <v>0</v>
      </c>
      <c r="X76" s="50">
        <v>1</v>
      </c>
      <c r="Y76" s="2">
        <f>_xlfn.XLOOKUP(GamleEksp[[#This Row],[Dataset (.h5)]],Andeler[Datasett (.h5)],Andeler[total]," ")</f>
        <v>730</v>
      </c>
      <c r="Z76" s="28">
        <f>IFERROR(_xlfn.XLOOKUP(GamleEksp[[#This Row],[Dataset (.h5)]],Andeler[Datasett (.h5)],Andeler[Normale]," ")/GamleEksp[[#This Row],[Number of samples]]," ")</f>
        <v>0</v>
      </c>
      <c r="AA76" s="51">
        <f>IFERROR(_xlfn.XLOOKUP(GamleEksp[[#This Row],[Dataset (.h5)]],Andeler[Datasett (.h5)],Andeler[1 artrose]," ")/GamleEksp[[#This Row],[Number of samples]]," ")</f>
        <v>0.40273972602739727</v>
      </c>
      <c r="AB76" s="28">
        <f>IFERROR(_xlfn.XLOOKUP(GamleEksp[[#This Row],[Dataset (.h5)]],Andeler[Datasett (.h5)],Andeler[1 sklerose]," ")/GamleEksp[[#This Row],[Number of samples]]," ")</f>
        <v>8.6301369863013705E-2</v>
      </c>
      <c r="AC76" s="28">
        <f>IFERROR(_xlfn.XLOOKUP(GamleEksp[[#This Row],[Dataset (.h5)]],Andeler[Datasett (.h5)],Andeler[2 artrose]," ")/GamleEksp[[#This Row],[Number of samples]]," ")</f>
        <v>0.17671232876712328</v>
      </c>
      <c r="AD76" s="28">
        <f>IFERROR(_xlfn.XLOOKUP(GamleEksp[[#This Row],[Dataset (.h5)]],Andeler[Datasett (.h5)],Andeler[2 PL]," ")/GamleEksp[[#This Row],[Number of samples]]," ")</f>
        <v>0.1</v>
      </c>
      <c r="AE76" s="28">
        <f>IFERROR(_xlfn.XLOOKUP(GamleEksp[[#This Row],[Dataset (.h5)]],Andeler[Datasett (.h5)],Andeler[3 artrose]," ")/GamleEksp[[#This Row],[Number of samples]]," ")</f>
        <v>6.575342465753424E-2</v>
      </c>
      <c r="AF76" s="28">
        <f>IFERROR(_xlfn.XLOOKUP(GamleEksp[[#This Row],[Dataset (.h5)]],Andeler[Datasett (.h5)],Andeler[3 MCD]," ")/GamleEksp[[#This Row],[Number of samples]]," ")</f>
        <v>0.14109589041095891</v>
      </c>
      <c r="AG76" s="28">
        <f>IFERROR(_xlfn.XLOOKUP(GamleEksp[[#This Row],[Dataset (.h5)]],Andeler[Datasett (.h5)],Andeler[3 OCD]," ")/GamleEksp[[#This Row],[Number of samples]]," ")</f>
        <v>1.5068493150684932E-2</v>
      </c>
      <c r="AH76" s="28">
        <f>IFERROR(_xlfn.XLOOKUP(GamleEksp[[#This Row],[Dataset (.h5)]],Andeler[Datasett (.h5)],Andeler[3 UAP]," ")/GamleEksp[[#This Row],[Number of samples]]," ")</f>
        <v>1.2328767123287671E-2</v>
      </c>
    </row>
    <row r="77" spans="2:34" ht="48" outlineLevel="1">
      <c r="B77" s="38">
        <v>11742861</v>
      </c>
      <c r="C77" s="31" t="s">
        <v>202</v>
      </c>
      <c r="D77" s="39"/>
      <c r="E77" s="38" t="s">
        <v>148</v>
      </c>
      <c r="F77" s="38" t="str">
        <f>_xlfn.TEXTJOIN("_",TRUE,GamleEksp[[#This Row],[Complexity]],GamleEksp[[#This Row],[Dataset (.h5)]],"bs",GamleEksp[[#This Row],[batch size]],GamleEksp[[#This Row],[Learning rate]])</f>
        <v>B2_800_multiclass20_lvl_bs_16_0.0005</v>
      </c>
      <c r="G77" s="2">
        <f>_xlfn.XLOOKUP(GamleEksp[[#This Row],[Dataset (.h5)]],Andeler[Datasett (.h5)],Andeler[resize_shape]," ")</f>
        <v>800</v>
      </c>
      <c r="H77" s="38" t="s">
        <v>25</v>
      </c>
      <c r="I77" s="2">
        <v>5.0000000000000001E-4</v>
      </c>
      <c r="J77" s="2" t="s">
        <v>149</v>
      </c>
      <c r="K77" s="2">
        <v>16</v>
      </c>
      <c r="L77" s="38" t="s">
        <v>150</v>
      </c>
      <c r="M77" s="49"/>
      <c r="N77" s="2" t="s">
        <v>204</v>
      </c>
      <c r="O77" s="50">
        <v>0.83053069999999996</v>
      </c>
      <c r="P77" s="50">
        <v>0.81672003965615703</v>
      </c>
      <c r="Q77" s="50">
        <v>0.80952376000000004</v>
      </c>
      <c r="R77" s="50">
        <v>0.543101859511392</v>
      </c>
      <c r="S77" s="50">
        <v>0.71428571428571397</v>
      </c>
      <c r="T77" s="50">
        <v>0.83714980000000006</v>
      </c>
      <c r="U77" s="50">
        <v>0.83414478403736803</v>
      </c>
      <c r="V77" s="50">
        <v>0.80402934999999998</v>
      </c>
      <c r="W77" s="50">
        <v>0.55074233106782</v>
      </c>
      <c r="X77" s="50">
        <v>0.71978021978020001</v>
      </c>
      <c r="Y77" s="2">
        <f>_xlfn.XLOOKUP(GamleEksp[[#This Row],[Dataset (.h5)]],Andeler[Datasett (.h5)],Andeler[total]," ")</f>
        <v>730</v>
      </c>
      <c r="Z77" s="28">
        <f>IFERROR(_xlfn.XLOOKUP(GamleEksp[[#This Row],[Dataset (.h5)]],Andeler[Datasett (.h5)],Andeler[Normale]," ")/GamleEksp[[#This Row],[Number of samples]]," ")</f>
        <v>0</v>
      </c>
      <c r="AA77" s="51">
        <f>IFERROR(_xlfn.XLOOKUP(GamleEksp[[#This Row],[Dataset (.h5)]],Andeler[Datasett (.h5)],Andeler[1 artrose]," ")/GamleEksp[[#This Row],[Number of samples]]," ")</f>
        <v>0.40273972602739727</v>
      </c>
      <c r="AB77" s="28">
        <f>IFERROR(_xlfn.XLOOKUP(GamleEksp[[#This Row],[Dataset (.h5)]],Andeler[Datasett (.h5)],Andeler[1 sklerose]," ")/GamleEksp[[#This Row],[Number of samples]]," ")</f>
        <v>8.6301369863013705E-2</v>
      </c>
      <c r="AC77" s="28">
        <f>IFERROR(_xlfn.XLOOKUP(GamleEksp[[#This Row],[Dataset (.h5)]],Andeler[Datasett (.h5)],Andeler[2 artrose]," ")/GamleEksp[[#This Row],[Number of samples]]," ")</f>
        <v>0.17671232876712328</v>
      </c>
      <c r="AD77" s="28">
        <f>IFERROR(_xlfn.XLOOKUP(GamleEksp[[#This Row],[Dataset (.h5)]],Andeler[Datasett (.h5)],Andeler[2 PL]," ")/GamleEksp[[#This Row],[Number of samples]]," ")</f>
        <v>0.1</v>
      </c>
      <c r="AE77" s="28">
        <f>IFERROR(_xlfn.XLOOKUP(GamleEksp[[#This Row],[Dataset (.h5)]],Andeler[Datasett (.h5)],Andeler[3 artrose]," ")/GamleEksp[[#This Row],[Number of samples]]," ")</f>
        <v>6.575342465753424E-2</v>
      </c>
      <c r="AF77" s="28">
        <f>IFERROR(_xlfn.XLOOKUP(GamleEksp[[#This Row],[Dataset (.h5)]],Andeler[Datasett (.h5)],Andeler[3 MCD]," ")/GamleEksp[[#This Row],[Number of samples]]," ")</f>
        <v>0.14109589041095891</v>
      </c>
      <c r="AG77" s="28">
        <f>IFERROR(_xlfn.XLOOKUP(GamleEksp[[#This Row],[Dataset (.h5)]],Andeler[Datasett (.h5)],Andeler[3 OCD]," ")/GamleEksp[[#This Row],[Number of samples]]," ")</f>
        <v>1.5068493150684932E-2</v>
      </c>
      <c r="AH77" s="28">
        <f>IFERROR(_xlfn.XLOOKUP(GamleEksp[[#This Row],[Dataset (.h5)]],Andeler[Datasett (.h5)],Andeler[3 UAP]," ")/GamleEksp[[#This Row],[Number of samples]]," ")</f>
        <v>1.2328767123287671E-2</v>
      </c>
    </row>
    <row r="78" spans="2:34">
      <c r="B78" s="38"/>
      <c r="C78" s="39"/>
      <c r="D78" s="39"/>
      <c r="E78" s="38"/>
      <c r="F78" s="38"/>
      <c r="G78" s="38"/>
      <c r="H78" s="2"/>
      <c r="I78" s="2"/>
      <c r="J78" s="38"/>
      <c r="K78" s="38"/>
      <c r="L78" s="38"/>
      <c r="M78" s="2"/>
      <c r="N78" s="50"/>
      <c r="O78" s="50"/>
      <c r="P78" s="50"/>
      <c r="Q78" s="50"/>
      <c r="R78" s="50"/>
      <c r="S78" s="50"/>
      <c r="T78" s="50"/>
      <c r="U78" s="50"/>
      <c r="V78" s="50"/>
      <c r="W78" s="50"/>
      <c r="X78" s="2"/>
      <c r="Y78" s="28" t="str">
        <f>IFERROR(_xlfn.XLOOKUP(GamleEksp[[#This Row],[Dataset (.h5)]],Andeler[Datasett (.h5)],Andeler[Normale]," ")/GamleEksp[[#This Row],[Number of samples]]," ")</f>
        <v xml:space="preserve"> </v>
      </c>
      <c r="Z78" s="28" t="str">
        <f>IFERROR(_xlfn.XLOOKUP(GamleEksp[[#This Row],[Dataset (.h5)]],Andeler[Datasett (.h5)],Andeler[1 artrose]," ")/GamleEksp[[#This Row],[Number of samples]]," ")</f>
        <v xml:space="preserve"> </v>
      </c>
      <c r="AA78" s="28" t="str">
        <f>IFERROR(_xlfn.XLOOKUP(GamleEksp[[#This Row],[Dataset (.h5)]],Andeler[Datasett (.h5)],Andeler[1 sklerose]," ")/GamleEksp[[#This Row],[Number of samples]]," ")</f>
        <v xml:space="preserve"> </v>
      </c>
      <c r="AB78" s="28" t="str">
        <f>IFERROR(_xlfn.XLOOKUP(GamleEksp[[#This Row],[Dataset (.h5)]],Andeler[Datasett (.h5)],Andeler[2 artrose]," ")/GamleEksp[[#This Row],[Number of samples]]," ")</f>
        <v xml:space="preserve"> </v>
      </c>
      <c r="AC78" s="28" t="str">
        <f>IFERROR(_xlfn.XLOOKUP(GamleEksp[[#This Row],[Dataset (.h5)]],Andeler[Datasett (.h5)],Andeler[2 PL]," ")/GamleEksp[[#This Row],[Number of samples]]," ")</f>
        <v xml:space="preserve"> </v>
      </c>
      <c r="AD78" s="28" t="str">
        <f>IFERROR(_xlfn.XLOOKUP(GamleEksp[[#This Row],[Dataset (.h5)]],Andeler[Datasett (.h5)],Andeler[3 artrose]," ")/GamleEksp[[#This Row],[Number of samples]]," ")</f>
        <v xml:space="preserve"> </v>
      </c>
      <c r="AE78" s="28" t="str">
        <f>IFERROR(_xlfn.XLOOKUP(GamleEksp[[#This Row],[Dataset (.h5)]],Andeler[Datasett (.h5)],Andeler[3 MCD]," ")/GamleEksp[[#This Row],[Number of samples]]," ")</f>
        <v xml:space="preserve"> </v>
      </c>
      <c r="AF78" s="28" t="str">
        <f>IFERROR(_xlfn.XLOOKUP(GamleEksp[[#This Row],[Dataset (.h5)]],Andeler[Datasett (.h5)],Andeler[3 OCD]," ")/GamleEksp[[#This Row],[Number of samples]]," ")</f>
        <v xml:space="preserve"> </v>
      </c>
      <c r="AG78" s="28" t="str">
        <f>IFERROR(_xlfn.XLOOKUP(GamleEksp[[#This Row],[Dataset (.h5)]],Andeler[Datasett (.h5)],Andeler[3 UAP]," ")/GamleEksp[[#This Row],[Number of samples]]," ")</f>
        <v xml:space="preserve"> </v>
      </c>
    </row>
    <row r="79" spans="2:34">
      <c r="B79" s="38"/>
      <c r="C79" s="39"/>
      <c r="D79" s="39"/>
      <c r="E79" s="38"/>
      <c r="F79" s="38"/>
      <c r="G79" s="38"/>
      <c r="H79" s="2"/>
      <c r="I79" s="2"/>
      <c r="J79" s="38"/>
      <c r="K79" s="38"/>
      <c r="L79" s="38"/>
      <c r="M79" s="2"/>
      <c r="N79" s="50"/>
      <c r="O79" s="50"/>
      <c r="P79" s="50"/>
      <c r="Q79" s="50"/>
      <c r="R79" s="50"/>
      <c r="S79" s="50"/>
      <c r="T79" s="50"/>
      <c r="U79" s="50"/>
      <c r="V79" s="50"/>
      <c r="W79" s="50"/>
      <c r="X79" s="2"/>
      <c r="Y79" s="28" t="str">
        <f>IFERROR(_xlfn.XLOOKUP(GamleEksp[[#This Row],[Dataset (.h5)]],Andeler[Datasett (.h5)],Andeler[Normale]," ")/GamleEksp[[#This Row],[Number of samples]]," ")</f>
        <v xml:space="preserve"> </v>
      </c>
      <c r="Z79" s="28" t="str">
        <f>IFERROR(_xlfn.XLOOKUP(GamleEksp[[#This Row],[Dataset (.h5)]],Andeler[Datasett (.h5)],Andeler[1 artrose]," ")/GamleEksp[[#This Row],[Number of samples]]," ")</f>
        <v xml:space="preserve"> </v>
      </c>
      <c r="AA79" s="28" t="str">
        <f>IFERROR(_xlfn.XLOOKUP(GamleEksp[[#This Row],[Dataset (.h5)]],Andeler[Datasett (.h5)],Andeler[1 sklerose]," ")/GamleEksp[[#This Row],[Number of samples]]," ")</f>
        <v xml:space="preserve"> </v>
      </c>
      <c r="AB79" s="28" t="str">
        <f>IFERROR(_xlfn.XLOOKUP(GamleEksp[[#This Row],[Dataset (.h5)]],Andeler[Datasett (.h5)],Andeler[2 artrose]," ")/GamleEksp[[#This Row],[Number of samples]]," ")</f>
        <v xml:space="preserve"> </v>
      </c>
      <c r="AC79" s="28" t="str">
        <f>IFERROR(_xlfn.XLOOKUP(GamleEksp[[#This Row],[Dataset (.h5)]],Andeler[Datasett (.h5)],Andeler[2 PL]," ")/GamleEksp[[#This Row],[Number of samples]]," ")</f>
        <v xml:space="preserve"> </v>
      </c>
      <c r="AD79" s="28" t="str">
        <f>IFERROR(_xlfn.XLOOKUP(GamleEksp[[#This Row],[Dataset (.h5)]],Andeler[Datasett (.h5)],Andeler[3 artrose]," ")/GamleEksp[[#This Row],[Number of samples]]," ")</f>
        <v xml:space="preserve"> </v>
      </c>
      <c r="AE79" s="28" t="str">
        <f>IFERROR(_xlfn.XLOOKUP(GamleEksp[[#This Row],[Dataset (.h5)]],Andeler[Datasett (.h5)],Andeler[3 MCD]," ")/GamleEksp[[#This Row],[Number of samples]]," ")</f>
        <v xml:space="preserve"> </v>
      </c>
      <c r="AF79" s="28" t="str">
        <f>IFERROR(_xlfn.XLOOKUP(GamleEksp[[#This Row],[Dataset (.h5)]],Andeler[Datasett (.h5)],Andeler[3 OCD]," ")/GamleEksp[[#This Row],[Number of samples]]," ")</f>
        <v xml:space="preserve"> </v>
      </c>
      <c r="AG79" s="28" t="str">
        <f>IFERROR(_xlfn.XLOOKUP(GamleEksp[[#This Row],[Dataset (.h5)]],Andeler[Datasett (.h5)],Andeler[3 UAP]," ")/GamleEksp[[#This Row],[Number of samples]]," ")</f>
        <v xml:space="preserve"> </v>
      </c>
    </row>
    <row r="80" spans="2:34">
      <c r="B80" s="2"/>
      <c r="C80" s="2"/>
      <c r="D80" s="2"/>
      <c r="E80" s="2"/>
      <c r="F80" s="2"/>
      <c r="G80" s="3"/>
      <c r="H80" s="3"/>
    </row>
    <row r="81" spans="2:13">
      <c r="B81" s="2"/>
      <c r="C81" s="2"/>
      <c r="D81" s="2"/>
      <c r="E81" s="2"/>
      <c r="F81" s="2"/>
      <c r="G81" s="3"/>
      <c r="H81" s="3"/>
    </row>
    <row r="82" spans="2:13">
      <c r="B82" t="s">
        <v>68</v>
      </c>
    </row>
    <row r="83" spans="2:13" ht="17" thickBot="1">
      <c r="B83" s="5"/>
      <c r="C83" s="1">
        <v>18</v>
      </c>
      <c r="D83" s="1">
        <v>19</v>
      </c>
      <c r="E83" s="1">
        <v>20</v>
      </c>
      <c r="F83" s="1">
        <v>21</v>
      </c>
      <c r="G83" s="1">
        <v>22</v>
      </c>
      <c r="H83" s="7" t="s">
        <v>69</v>
      </c>
      <c r="I83" t="s">
        <v>167</v>
      </c>
    </row>
    <row r="84" spans="2:13" ht="49" thickBot="1">
      <c r="B84" s="6" t="s">
        <v>70</v>
      </c>
      <c r="C84" s="10" t="s">
        <v>38</v>
      </c>
      <c r="D84" s="10" t="s">
        <v>38</v>
      </c>
      <c r="E84" s="9">
        <v>21</v>
      </c>
      <c r="F84" s="9" t="s">
        <v>71</v>
      </c>
      <c r="G84" s="10" t="s">
        <v>38</v>
      </c>
      <c r="H84" s="8">
        <v>738</v>
      </c>
      <c r="I84" s="26">
        <f>H84</f>
        <v>738</v>
      </c>
    </row>
    <row r="85" spans="2:13" ht="17" thickBot="1">
      <c r="B85" s="6" t="s">
        <v>14</v>
      </c>
      <c r="C85" s="9">
        <v>279</v>
      </c>
      <c r="D85" s="9">
        <v>218</v>
      </c>
      <c r="E85" s="9">
        <v>294</v>
      </c>
      <c r="F85" s="9">
        <v>203</v>
      </c>
      <c r="G85" s="10" t="s">
        <v>38</v>
      </c>
      <c r="H85" s="8">
        <f>SUM(C85:G85)</f>
        <v>994</v>
      </c>
      <c r="I85" s="120">
        <f>SUM(H85:H86)</f>
        <v>1185</v>
      </c>
    </row>
    <row r="86" spans="2:13" ht="17" thickBot="1">
      <c r="B86" s="6" t="s">
        <v>15</v>
      </c>
      <c r="C86" s="9">
        <v>50</v>
      </c>
      <c r="D86" s="9">
        <v>49</v>
      </c>
      <c r="E86" s="9">
        <v>63</v>
      </c>
      <c r="F86" s="9">
        <v>29</v>
      </c>
      <c r="G86" s="10" t="s">
        <v>38</v>
      </c>
      <c r="H86" s="8">
        <f t="shared" ref="H86:H92" si="0">SUM(C86:G86)</f>
        <v>191</v>
      </c>
      <c r="I86" s="120"/>
    </row>
    <row r="87" spans="2:13" ht="17" thickBot="1">
      <c r="B87" s="6" t="s">
        <v>16</v>
      </c>
      <c r="C87" s="9">
        <v>133</v>
      </c>
      <c r="D87" s="9">
        <v>126</v>
      </c>
      <c r="E87" s="9">
        <v>129</v>
      </c>
      <c r="F87" s="9">
        <v>135</v>
      </c>
      <c r="G87" s="10" t="s">
        <v>38</v>
      </c>
      <c r="H87" s="8">
        <f t="shared" si="0"/>
        <v>523</v>
      </c>
      <c r="I87" s="120">
        <f>SUM(H87:H88)</f>
        <v>740</v>
      </c>
    </row>
    <row r="88" spans="2:13" ht="17" thickBot="1">
      <c r="B88" s="6" t="s">
        <v>17</v>
      </c>
      <c r="C88" s="9">
        <v>48</v>
      </c>
      <c r="D88" s="9">
        <v>45</v>
      </c>
      <c r="E88" s="9">
        <v>73</v>
      </c>
      <c r="F88" s="9">
        <v>51</v>
      </c>
      <c r="G88" s="10" t="s">
        <v>38</v>
      </c>
      <c r="H88" s="8">
        <f t="shared" si="0"/>
        <v>217</v>
      </c>
      <c r="I88" s="120"/>
    </row>
    <row r="89" spans="2:13" ht="17" thickBot="1">
      <c r="B89" s="6" t="s">
        <v>18</v>
      </c>
      <c r="C89" s="9">
        <v>54</v>
      </c>
      <c r="D89" s="9">
        <v>57</v>
      </c>
      <c r="E89" s="9">
        <v>48</v>
      </c>
      <c r="F89" s="9">
        <v>57</v>
      </c>
      <c r="G89" s="10" t="s">
        <v>38</v>
      </c>
      <c r="H89" s="8">
        <f t="shared" si="0"/>
        <v>216</v>
      </c>
      <c r="I89" s="121">
        <f>SUM(H89:H92)</f>
        <v>632</v>
      </c>
    </row>
    <row r="90" spans="2:13" ht="17" thickBot="1">
      <c r="B90" s="6" t="s">
        <v>19</v>
      </c>
      <c r="C90" s="9">
        <v>72</v>
      </c>
      <c r="D90" s="9">
        <v>93</v>
      </c>
      <c r="E90" s="9">
        <v>103</v>
      </c>
      <c r="F90" s="9">
        <v>67</v>
      </c>
      <c r="G90" s="10" t="s">
        <v>38</v>
      </c>
      <c r="H90" s="8">
        <f t="shared" si="0"/>
        <v>335</v>
      </c>
      <c r="I90" s="121"/>
    </row>
    <row r="91" spans="2:13" ht="17" thickBot="1">
      <c r="B91" s="6" t="s">
        <v>20</v>
      </c>
      <c r="C91" s="22" t="s">
        <v>38</v>
      </c>
      <c r="D91" s="9">
        <v>9</v>
      </c>
      <c r="E91" s="9">
        <v>11</v>
      </c>
      <c r="F91" s="9">
        <v>12</v>
      </c>
      <c r="G91" s="10" t="s">
        <v>38</v>
      </c>
      <c r="H91" s="8">
        <f t="shared" si="0"/>
        <v>32</v>
      </c>
      <c r="I91" s="121"/>
    </row>
    <row r="92" spans="2:13" ht="17" thickBot="1">
      <c r="B92" s="11" t="s">
        <v>21</v>
      </c>
      <c r="C92" s="12">
        <v>8</v>
      </c>
      <c r="D92" s="12">
        <v>9</v>
      </c>
      <c r="E92" s="12">
        <v>9</v>
      </c>
      <c r="F92" s="12">
        <v>23</v>
      </c>
      <c r="G92" s="13" t="s">
        <v>38</v>
      </c>
      <c r="H92" s="8">
        <f t="shared" si="0"/>
        <v>49</v>
      </c>
      <c r="I92" s="121"/>
    </row>
    <row r="93" spans="2:13" ht="32">
      <c r="B93" s="14" t="s">
        <v>72</v>
      </c>
      <c r="C93" s="15">
        <f>SUM(C85:C92)</f>
        <v>644</v>
      </c>
      <c r="D93" s="15">
        <f>SUM(D85:D92)</f>
        <v>606</v>
      </c>
      <c r="E93" s="15">
        <f>SUM(E85:E92)</f>
        <v>730</v>
      </c>
      <c r="F93" s="15">
        <f t="shared" ref="F93" si="1">SUM(F85:F92)</f>
        <v>577</v>
      </c>
      <c r="G93" s="15"/>
      <c r="H93" s="15">
        <f>SUM(H84:H92)</f>
        <v>3295</v>
      </c>
    </row>
    <row r="95" spans="2:13" ht="16" thickBot="1">
      <c r="D95">
        <f>SUM(C93:F93)</f>
        <v>2557</v>
      </c>
    </row>
    <row r="96" spans="2:13" ht="16" thickBot="1">
      <c r="B96" t="s">
        <v>73</v>
      </c>
      <c r="C96" s="18" t="s">
        <v>13</v>
      </c>
      <c r="D96" s="18" t="s">
        <v>14</v>
      </c>
      <c r="E96" s="19" t="s">
        <v>15</v>
      </c>
      <c r="F96" s="20" t="s">
        <v>16</v>
      </c>
      <c r="G96" s="20" t="s">
        <v>17</v>
      </c>
      <c r="H96" s="20" t="s">
        <v>18</v>
      </c>
      <c r="I96" s="20" t="s">
        <v>19</v>
      </c>
      <c r="J96" s="20" t="s">
        <v>20</v>
      </c>
      <c r="K96" s="21" t="s">
        <v>21</v>
      </c>
      <c r="L96" s="23" t="s">
        <v>74</v>
      </c>
      <c r="M96" s="23" t="s">
        <v>75</v>
      </c>
    </row>
    <row r="97" spans="2:13">
      <c r="B97" t="s">
        <v>40</v>
      </c>
      <c r="C97">
        <v>225</v>
      </c>
      <c r="D97">
        <v>0</v>
      </c>
      <c r="E97">
        <v>0</v>
      </c>
      <c r="F97">
        <v>0</v>
      </c>
      <c r="G97">
        <v>0</v>
      </c>
      <c r="H97">
        <v>216</v>
      </c>
      <c r="I97">
        <v>0</v>
      </c>
      <c r="J97">
        <v>0</v>
      </c>
      <c r="K97">
        <v>0</v>
      </c>
      <c r="L97">
        <f>SUM(Andeler[[#This Row],[Normale]:[3 UAP]])</f>
        <v>441</v>
      </c>
      <c r="M97">
        <v>640</v>
      </c>
    </row>
    <row r="98" spans="2:13">
      <c r="B98" s="22" t="s">
        <v>33</v>
      </c>
      <c r="C98" s="22">
        <v>738</v>
      </c>
      <c r="D98" s="22">
        <v>994</v>
      </c>
      <c r="E98" s="22">
        <v>191</v>
      </c>
      <c r="F98" s="22">
        <v>523</v>
      </c>
      <c r="G98" s="22">
        <v>217</v>
      </c>
      <c r="H98" s="22">
        <v>216</v>
      </c>
      <c r="I98" s="22">
        <v>335</v>
      </c>
      <c r="J98" s="22">
        <v>32</v>
      </c>
      <c r="K98" s="22">
        <v>49</v>
      </c>
      <c r="L98" s="22">
        <f>SUM(Andeler[[#This Row],[Normale]:[3 UAP]])</f>
        <v>3295</v>
      </c>
      <c r="M98" s="47">
        <v>640</v>
      </c>
    </row>
    <row r="99" spans="2:13">
      <c r="B99" t="s">
        <v>24</v>
      </c>
      <c r="C99">
        <v>738</v>
      </c>
      <c r="D99">
        <v>294</v>
      </c>
      <c r="E99">
        <v>63</v>
      </c>
      <c r="F99">
        <v>129</v>
      </c>
      <c r="G99">
        <v>73</v>
      </c>
      <c r="H99">
        <v>48</v>
      </c>
      <c r="I99">
        <v>103</v>
      </c>
      <c r="J99">
        <v>11</v>
      </c>
      <c r="K99">
        <v>9</v>
      </c>
      <c r="L99">
        <f>SUM(Andeler[[#This Row],[Normale]:[3 UAP]])</f>
        <v>1468</v>
      </c>
      <c r="M99">
        <f>32*25</f>
        <v>800</v>
      </c>
    </row>
    <row r="100" spans="2:13">
      <c r="B100" t="s">
        <v>76</v>
      </c>
      <c r="C100">
        <v>738</v>
      </c>
      <c r="D100">
        <v>203</v>
      </c>
      <c r="E100">
        <v>29</v>
      </c>
      <c r="F100">
        <f>126+135</f>
        <v>261</v>
      </c>
      <c r="G100">
        <v>51</v>
      </c>
      <c r="H100">
        <f>57+57</f>
        <v>114</v>
      </c>
      <c r="I100">
        <v>67</v>
      </c>
      <c r="J100">
        <v>12</v>
      </c>
      <c r="K100">
        <v>23</v>
      </c>
      <c r="L100">
        <f>SUM(Andeler[[#This Row],[Normale]:[3 UAP]])</f>
        <v>1498</v>
      </c>
      <c r="M100" s="25">
        <v>800</v>
      </c>
    </row>
    <row r="101" spans="2:13">
      <c r="B101" t="s">
        <v>77</v>
      </c>
      <c r="C101">
        <v>738</v>
      </c>
      <c r="D101">
        <v>994</v>
      </c>
      <c r="E101">
        <v>191</v>
      </c>
      <c r="F101">
        <v>523</v>
      </c>
      <c r="G101">
        <v>217</v>
      </c>
      <c r="H101">
        <v>216</v>
      </c>
      <c r="I101">
        <v>335</v>
      </c>
      <c r="J101">
        <v>32</v>
      </c>
      <c r="K101">
        <v>49</v>
      </c>
      <c r="L101">
        <f>SUM(Andeler[[#This Row],[Normale]:[3 UAP]])</f>
        <v>3295</v>
      </c>
      <c r="M101">
        <v>640</v>
      </c>
    </row>
    <row r="102" spans="2:13">
      <c r="B102" s="22" t="s">
        <v>82</v>
      </c>
      <c r="C102" s="22">
        <v>738</v>
      </c>
      <c r="D102" s="22">
        <v>294</v>
      </c>
      <c r="E102" s="22">
        <v>63</v>
      </c>
      <c r="F102" s="22">
        <v>129</v>
      </c>
      <c r="G102" s="22">
        <v>73</v>
      </c>
      <c r="H102" s="22">
        <v>48</v>
      </c>
      <c r="I102" s="22">
        <v>103</v>
      </c>
      <c r="J102" s="22">
        <v>11</v>
      </c>
      <c r="K102" s="22">
        <v>9</v>
      </c>
      <c r="L102" s="22">
        <f>SUM(Andeler[[#This Row],[Normale]:[3 UAP]])</f>
        <v>1468</v>
      </c>
      <c r="M102" s="47">
        <v>1280</v>
      </c>
    </row>
    <row r="103" spans="2:13">
      <c r="B103" t="s">
        <v>148</v>
      </c>
      <c r="C103">
        <v>0</v>
      </c>
      <c r="D103">
        <v>294</v>
      </c>
      <c r="E103">
        <v>63</v>
      </c>
      <c r="F103">
        <v>129</v>
      </c>
      <c r="G103">
        <v>73</v>
      </c>
      <c r="H103">
        <v>48</v>
      </c>
      <c r="I103">
        <v>103</v>
      </c>
      <c r="J103">
        <v>11</v>
      </c>
      <c r="K103">
        <v>9</v>
      </c>
      <c r="L103">
        <f>SUM(Andeler[[#This Row],[Normale]:[3 UAP]])</f>
        <v>730</v>
      </c>
      <c r="M103">
        <v>800</v>
      </c>
    </row>
    <row r="104" spans="2:13">
      <c r="B104" t="s">
        <v>166</v>
      </c>
      <c r="C104">
        <v>0</v>
      </c>
      <c r="D104">
        <v>497</v>
      </c>
      <c r="E104">
        <v>99</v>
      </c>
      <c r="F104">
        <v>259</v>
      </c>
      <c r="G104">
        <v>93</v>
      </c>
      <c r="H104">
        <v>111</v>
      </c>
      <c r="I104">
        <v>165</v>
      </c>
      <c r="J104">
        <v>9</v>
      </c>
      <c r="K104">
        <v>9</v>
      </c>
      <c r="L104">
        <f>SUM(Andeler[[#This Row],[Normale]:[3 UAP]])</f>
        <v>1242</v>
      </c>
      <c r="M104" s="25">
        <v>800</v>
      </c>
    </row>
    <row r="105" spans="2:13">
      <c r="B105" t="s">
        <v>197</v>
      </c>
      <c r="C105">
        <v>0</v>
      </c>
      <c r="D105">
        <v>497</v>
      </c>
      <c r="E105">
        <v>99</v>
      </c>
      <c r="F105">
        <v>259</v>
      </c>
      <c r="G105">
        <v>93</v>
      </c>
      <c r="H105">
        <v>111</v>
      </c>
      <c r="I105">
        <v>165</v>
      </c>
      <c r="J105">
        <v>20</v>
      </c>
      <c r="K105">
        <v>9</v>
      </c>
      <c r="L105">
        <f>SUM(Andeler[[#This Row],[Normale]:[3 UAP]])</f>
        <v>1253</v>
      </c>
      <c r="M105" s="25">
        <v>800</v>
      </c>
    </row>
  </sheetData>
  <mergeCells count="4">
    <mergeCell ref="I85:I86"/>
    <mergeCell ref="I87:I88"/>
    <mergeCell ref="I89:I92"/>
    <mergeCell ref="F2:I2"/>
  </mergeCells>
  <phoneticPr fontId="2" type="noConversion"/>
  <conditionalFormatting sqref="L56:L57 N4:N55">
    <cfRule type="colorScale" priority="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56:M57 O4:O55">
    <cfRule type="colorScale" priority="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56:N57 P4:P55">
    <cfRule type="colorScale" priority="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56:O57 Q4:S55">
    <cfRule type="colorScale" priority="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60:O77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60:X77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6:P57 T4:T55">
    <cfRule type="colorScale" priority="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60:P77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4:Q55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56:Q57 U4:U55">
    <cfRule type="colorScale" priority="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60:Q77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4:R55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56:R57 V4:V55">
    <cfRule type="colorScale" priority="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60:R77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4:S55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56:S57 W4:Y55">
    <cfRule type="colorScale" priority="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60:S77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60:T77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60:U77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60:V77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4:W55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60:W77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4:X55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60:X7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Y4:Y55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dataValidations count="8">
    <dataValidation type="list" allowBlank="1" showInputMessage="1" showErrorMessage="1" sqref="H56:H57 I4:I55 I60:I77" xr:uid="{B452FDC8-E83E-44BE-A30E-6C837210077C}">
      <formula1>"0.00001,0.00005,0.0001,0.0005,0.0010,0.0050,0.0100"</formula1>
    </dataValidation>
    <dataValidation allowBlank="1" showInputMessage="1" showErrorMessage="1" sqref="E4:E57 F4:F55" xr:uid="{A28D8E7C-D3AB-4882-A3D1-FF0DD4FA919B}"/>
    <dataValidation type="list" allowBlank="1" showInputMessage="1" showErrorMessage="1" sqref="J60:J77" xr:uid="{AA90FF76-3397-4E26-9C8F-0B382DF46BE6}">
      <formula1>"pretrain, scratch"</formula1>
    </dataValidation>
    <dataValidation type="list" allowBlank="1" showInputMessage="1" showErrorMessage="1" sqref="L60:L77" xr:uid="{59AD37CE-F20C-4BE0-9B02-612B5AC99A42}">
      <formula1>"level,diagnosis,complete"</formula1>
    </dataValidation>
    <dataValidation type="list" allowBlank="1" showInputMessage="1" showErrorMessage="1" sqref="H60:H77" xr:uid="{B36A0183-2D5C-49F1-95F2-9B73E0DF5FF2}">
      <formula1>"B0,B1,B2,B3"</formula1>
    </dataValidation>
    <dataValidation type="list" allowBlank="1" showInputMessage="1" showErrorMessage="1" sqref="I56:I57 J4:J55" xr:uid="{53C2438A-2BE0-4086-A375-9E3D0C20D6DD}">
      <formula1>"Pretrain, scratch"</formula1>
    </dataValidation>
    <dataValidation type="list" allowBlank="1" showInputMessage="1" showErrorMessage="1" sqref="G56:G57 H4:H55" xr:uid="{705DB8CB-B84D-4D0F-AE27-520DA40FC013}">
      <formula1>"B0,B1,B2,B3,B4,B5,B6,B7"</formula1>
    </dataValidation>
    <dataValidation type="list" allowBlank="1" showInputMessage="1" showErrorMessage="1" sqref="E60:E77" xr:uid="{84127991-F54D-433D-85B6-94D1F17CE41E}">
      <formula1>$B$97:$B$105</formula1>
    </dataValidation>
  </dataValidations>
  <pageMargins left="0.7" right="0.7" top="0.75" bottom="0.75" header="0.3" footer="0.3"/>
  <pageSetup paperSize="9" orientation="portrait" r:id="rId1"/>
  <drawing r:id="rId2"/>
  <legacyDrawing r:id="rId3"/>
  <tableParts count="3">
    <tablePart r:id="rId4"/>
    <tablePart r:id="rId5"/>
    <tablePart r:id="rId6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B420BFC-971A-4F51-8D4D-42131D4762F9}">
          <x14:formula1>
            <xm:f>Datasets!$A$6:$A$18</xm:f>
          </x14:formula1>
          <xm:sqref>D4:D55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l H M y V o Q b z 3 a k A A A A 9 g A A A B I A H A B D b 2 5 m a W c v U G F j a 2 F n Z S 5 4 b W w g o h g A K K A U A A A A A A A A A A A A A A A A A A A A A A A A A A A A h Y 9 N D o I w G E S v Q r q n f y b G k F I W b k V N T I z b W i s 0 w o e h x X I 3 F x 7 J K 4 h R 1 J 3 L e f M W M / f r T W R 9 X U U X 0 z r b Q I o Y p i g y o J u D h S J F n T / G M 5 R J s V b 6 p A o T D T K 4 p H e H F J X e n x N C Q g g 4 T H D T F o R T y s g u X 2 x 0 a W q F P r L 9 L 8 c W n F e g D Z J i + x o j O W a M 4 S n l m A o y Q p F b + A p 8 2 P t s f 6 C Y d 5 X v W i N h H y 9 X g o x R k P c H + Q B Q S w M E F A A C A A g A l H M y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R z M l Y o i k e 4 D g A A A B E A A A A T A B w A R m 9 y b X V s Y X M v U 2 V j d G l v b j E u b S C i G A A o o B Q A A A A A A A A A A A A A A A A A A A A A A A A A A A A r T k 0 u y c z P U w i G 0 I b W A F B L A Q I t A B Q A A g A I A J R z M l a E G 8 9 2 p A A A A P Y A A A A S A A A A A A A A A A A A A A A A A A A A A A B D b 2 5 m a W c v U G F j a 2 F n Z S 5 4 b W x Q S w E C L Q A U A A I A C A C U c z J W D 8 r p q 6 Q A A A D p A A A A E w A A A A A A A A A A A A A A A A D w A A A A W 0 N v b n R l b n R f V H l w Z X N d L n h t b F B L A Q I t A B Q A A g A I A J R z M l Y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B 9 1 R 9 A 8 6 A M T 5 X 2 u V U b Y Y 7 W A A A A A A I A A A A A A A N m A A D A A A A A E A A A A B V 5 N D R f m N u q b p V v Z k Y N B n 0 A A A A A B I A A A K A A A A A Q A A A A B w 7 A J p g b x 1 z L E o L y g P b O p V A A A A A L 2 G H J x e / N R O 4 T 5 u k O n 8 M A U d G B O F M z e m K E y d U 5 r E 8 X s P i g K k Y E W G i G y X 7 i Z + E j p 4 F H C R 9 2 1 4 / y I I S b i H l a K z u Q h 8 E V J L f R l w x h S R g L y I 7 Y G x Q A A A D x D e 3 6 e m E d A k H 0 q J N o g n n u N e n e z g = = < / D a t a M a s h u p > 
</file>

<file path=customXml/itemProps1.xml><?xml version="1.0" encoding="utf-8"?>
<ds:datastoreItem xmlns:ds="http://schemas.openxmlformats.org/officeDocument/2006/customXml" ds:itemID="{EEA60BD6-6C77-43A0-B9C1-20393736E32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5</vt:i4>
      </vt:variant>
    </vt:vector>
  </HeadingPairs>
  <TitlesOfParts>
    <vt:vector size="5" baseType="lpstr">
      <vt:lpstr>Binary Experiments</vt:lpstr>
      <vt:lpstr>Multiclass Experiments</vt:lpstr>
      <vt:lpstr>Datasets</vt:lpstr>
      <vt:lpstr>Kladdeark</vt:lpstr>
      <vt:lpstr>Old Experiments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Sunniva Elisabeth Daae Steiro</dc:creator>
  <cp:keywords/>
  <dc:description/>
  <cp:lastModifiedBy>Sunniva Elisabeth Daae Steiro</cp:lastModifiedBy>
  <cp:revision/>
  <dcterms:created xsi:type="dcterms:W3CDTF">2023-01-09T12:58:04Z</dcterms:created>
  <dcterms:modified xsi:type="dcterms:W3CDTF">2023-05-30T11:51:08Z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0484126-3486-41a9-802e-7f1e2277276c_Enabled">
    <vt:lpwstr>true</vt:lpwstr>
  </property>
  <property fmtid="{D5CDD505-2E9C-101B-9397-08002B2CF9AE}" pid="3" name="MSIP_Label_d0484126-3486-41a9-802e-7f1e2277276c_SetDate">
    <vt:lpwstr>2023-01-09T12:58:05Z</vt:lpwstr>
  </property>
  <property fmtid="{D5CDD505-2E9C-101B-9397-08002B2CF9AE}" pid="4" name="MSIP_Label_d0484126-3486-41a9-802e-7f1e2277276c_Method">
    <vt:lpwstr>Standard</vt:lpwstr>
  </property>
  <property fmtid="{D5CDD505-2E9C-101B-9397-08002B2CF9AE}" pid="5" name="MSIP_Label_d0484126-3486-41a9-802e-7f1e2277276c_Name">
    <vt:lpwstr>d0484126-3486-41a9-802e-7f1e2277276c</vt:lpwstr>
  </property>
  <property fmtid="{D5CDD505-2E9C-101B-9397-08002B2CF9AE}" pid="6" name="MSIP_Label_d0484126-3486-41a9-802e-7f1e2277276c_SiteId">
    <vt:lpwstr>eec01f8e-737f-43e3-9ed5-f8a59913bd82</vt:lpwstr>
  </property>
  <property fmtid="{D5CDD505-2E9C-101B-9397-08002B2CF9AE}" pid="7" name="MSIP_Label_d0484126-3486-41a9-802e-7f1e2277276c_ActionId">
    <vt:lpwstr>e56c1b0b-e27b-4483-be3d-983c0c7971c9</vt:lpwstr>
  </property>
  <property fmtid="{D5CDD505-2E9C-101B-9397-08002B2CF9AE}" pid="8" name="MSIP_Label_d0484126-3486-41a9-802e-7f1e2277276c_ContentBits">
    <vt:lpwstr>0</vt:lpwstr>
  </property>
</Properties>
</file>